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 windowWidth="11360" windowHeight="6160" activeTab="0"/>
  </bookViews>
  <sheets>
    <sheet name="Sheet1" sheetId="1" r:id="rId1"/>
    <sheet name="Sheet2" sheetId="2" r:id="rId2"/>
    <sheet name="Sheet3" sheetId="3" r:id="rId3"/>
  </sheets>
  <definedNames>
    <definedName name="rngBridgeAnd1">'Sheet1'!$B$172:$K$210</definedName>
    <definedName name="rngBridgeRound">'Sheet1'!$B$172:$K$190</definedName>
    <definedName name="rngDilutionInstructions1">'Sheet1'!$B$3:$H$64</definedName>
    <definedName name="rngDilutionInstructions2">'Sheet1'!$B$87:$H$123</definedName>
    <definedName name="rngHiddenRows">'Sheet1'!$C$127:$C$159</definedName>
    <definedName name="rngInvestmentSummary">'Sheet1'!$B$67:$O$85</definedName>
    <definedName name="rngRound2and3">'Sheet1'!$B$212:$K$265</definedName>
    <definedName name="rngShares">'Sheet1'!$C$126:$N$170</definedName>
    <definedName name="rngValuation">'Sheet1'!$C$126:$N$157</definedName>
    <definedName name="rngVC1">'Sheet1'!$B$192:$K$210</definedName>
    <definedName name="rngVC2">'Sheet1'!$B$212:$K$235</definedName>
    <definedName name="rngVC3">'Sheet1'!$B$237:$K$265</definedName>
  </definedNames>
  <calcPr fullCalcOnLoad="1"/>
</workbook>
</file>

<file path=xl/sharedStrings.xml><?xml version="1.0" encoding="utf-8"?>
<sst xmlns="http://schemas.openxmlformats.org/spreadsheetml/2006/main" count="411" uniqueCount="107">
  <si>
    <t>If the Investment Summary is completed, proceed to Part B (row 87).</t>
  </si>
  <si>
    <t>Founders # of shares</t>
  </si>
  <si>
    <t>Enter the percentage of stock that is allocated to recruit and motivate the key management in cell E138.  In cell D138 enter the number of management management team  members that will be included in this stock allotment.</t>
  </si>
  <si>
    <t>Enter the percentage of stock constituting the stock option pool that will be allocated to other employees in cell  E140.</t>
  </si>
  <si>
    <t>Go to the Series A table starting on row 176.   Select the appropriate pre-money valuation (valuation between $1M and $15M prior to obtaining the Series A financing) and enter the corresponding scenario number from column B in cell G131.</t>
  </si>
  <si>
    <t>Go to the Series B table starting on row 196.   Select the appropriate pre-money valuation (prior to obtaining the Series B financing) and enter the corresponding scenario number from column B in cell I131.</t>
  </si>
  <si>
    <t>Series C table starts on row 216.  Repeat process and enter scenario number in cell K131.</t>
  </si>
  <si>
    <t>Series D table starts on row 241.  Repeat process and enter scenario number in cell M131.</t>
  </si>
  <si>
    <r>
      <t xml:space="preserve">Tip:  </t>
    </r>
    <r>
      <rPr>
        <sz val="12"/>
        <rFont val="Times New Roman"/>
        <family val="1"/>
      </rPr>
      <t xml:space="preserve">Notice that Cells C220, C 218, and C244 are highlighted in red.  By changing the values in these </t>
    </r>
  </si>
  <si>
    <t>receive 30%-50% of the Company in each new round of financing, then you want to make sure that you use the market percentages in your financing plans and in this dilution calculator.  It is also suggested that you find some comparable companies that have done IPOs and investigate what their market capitalization was immediately</t>
  </si>
  <si>
    <r>
      <t>Tip:</t>
    </r>
    <r>
      <rPr>
        <sz val="12"/>
        <rFont val="Times New Roman"/>
        <family val="1"/>
      </rPr>
      <t xml:space="preserve">  In addition to calculating the dilution, this workbook calculates the return for each round of outside investment in cells F156 to F160.  It is suggestedthat you do research in your market as to what returns each round of investors in your market are targeting.  This will assist you in getting realistic results from this tool.</t>
    </r>
  </si>
  <si>
    <t xml:space="preserve">     Series D</t>
  </si>
  <si>
    <t>This worksheet is included to assist you with a basic understding of dilution, i.e. how the percentge of ownership is reduced for each class of stockholders upon each new round of financing</t>
  </si>
  <si>
    <t>Seed Round</t>
  </si>
  <si>
    <t>Series A</t>
  </si>
  <si>
    <t>Series B</t>
  </si>
  <si>
    <t>Series C</t>
  </si>
  <si>
    <t>Series D</t>
  </si>
  <si>
    <t xml:space="preserve">     Series A</t>
  </si>
  <si>
    <t xml:space="preserve">     Series B</t>
  </si>
  <si>
    <t xml:space="preserve">     Series C</t>
  </si>
  <si>
    <t>a</t>
  </si>
  <si>
    <t>b</t>
  </si>
  <si>
    <t>c</t>
  </si>
  <si>
    <t>d</t>
  </si>
  <si>
    <t>e</t>
  </si>
  <si>
    <t>f</t>
  </si>
  <si>
    <t>g</t>
  </si>
  <si>
    <t>Series A:</t>
  </si>
  <si>
    <t>Series B:</t>
  </si>
  <si>
    <t>Series C:</t>
  </si>
  <si>
    <t>Series D:</t>
  </si>
  <si>
    <t>Seed Round:</t>
  </si>
  <si>
    <r>
      <t xml:space="preserve">Initial round of capital (often called seed round) from the founders.                               Enter the number of Shares to be issued to the founders in cell E68.                                 Starting in cell </t>
    </r>
    <r>
      <rPr>
        <sz val="12"/>
        <rFont val="Times New Roman"/>
        <family val="1"/>
      </rPr>
      <t>D67</t>
    </r>
    <r>
      <rPr>
        <sz val="12"/>
        <color indexed="10"/>
        <rFont val="Times New Roman"/>
        <family val="1"/>
      </rPr>
      <t xml:space="preserve"> </t>
    </r>
    <r>
      <rPr>
        <sz val="12"/>
        <rFont val="Times New Roman"/>
        <family val="1"/>
      </rPr>
      <t>enter the name or names of the founder(s) of the company and enter their initial investment in the corresponding row/cell in column E.</t>
    </r>
  </si>
  <si>
    <t>Enter the names of the second round venture capital firm(s) in row D following the Series A investor(s).                                                                                                                   Enter the Series B investment(s) in the corresponding row(s) in column I "Series B".</t>
  </si>
  <si>
    <t>Enter the name(s) of your first round of outside private investor(s) or venture capital firm(s) in column D after the founder(s).                                                                         Enter Series A investment(s) in the corresponding cell(s) in column G "Series A."</t>
  </si>
  <si>
    <t>Enter the names of your third round venture capital firms in column D following the Series B investors.                                                                                                                      Enter the Series C investment(s) in the corresponding row in column K "Series C".</t>
  </si>
  <si>
    <t>Enter the names of your third round venture capital firms in column D following the Series C investors.                                                                                                                        Enter the Series D investment in the corresponding rows in column M "Series D".</t>
  </si>
  <si>
    <t>valuations go up then the value of founders stock goes up, despite the fact that the percentage of ownership in the company goes down.  In other words, as the pie gets bigger and more slices are cut from it, each slice keeps getting bigger as well.</t>
  </si>
  <si>
    <t>It is important for a founder to observe that as the company raises new money, if the milestones are met and</t>
  </si>
  <si>
    <t>Dilution occurs when new shares are issued.</t>
  </si>
  <si>
    <t>Inportant points:  1)</t>
  </si>
  <si>
    <t xml:space="preserve">                        2)</t>
  </si>
  <si>
    <t>The only way for shareholder to avoid dilution is to continue to invest in each new round at least their pro-rata share (the percentage of total money raised equal to the percentage owned in the company.</t>
  </si>
  <si>
    <r>
      <t xml:space="preserve">Tip:  </t>
    </r>
    <r>
      <rPr>
        <sz val="12"/>
        <rFont val="Times New Roman"/>
        <family val="1"/>
      </rPr>
      <t xml:space="preserve">Make sure that you raise enough capital to achieve all of the milestones that are outlined in you business plan as to be achieved with the proceeds of each financing.  Also,make sure that enough capital is raised to reach milestones and get to the next round of financing.  For example, if it will take 9-12 months to achieve the </t>
    </r>
  </si>
  <si>
    <t>milestones and then 9-12 months to raise the next round of finanacing, then enough capital should be raised to fund the Company for 18-24 months.  The investors term this your "runway" and use this as a gauge of the risk of your deal.</t>
  </si>
  <si>
    <r>
      <t xml:space="preserve">Tip:   </t>
    </r>
    <r>
      <rPr>
        <sz val="12"/>
        <rFont val="Times New Roman"/>
        <family val="1"/>
      </rPr>
      <t xml:space="preserve">It is suggested that you calculate the % ownership that the new investors are expected to receive in each round and that these calculated percentages are in line with what is reasonable in your market by investors.  This will be a good sanity check for you.  For example, if the rule of thumb in your market is that new investors </t>
    </r>
  </si>
  <si>
    <t>after the IPO to assist you in determining if your assumption is reasonable.</t>
  </si>
  <si>
    <t>IPO Market Value:</t>
  </si>
  <si>
    <t>cells you can change the values of the cells in the corresponding scenario tables allowing for different valuation</t>
  </si>
  <si>
    <t>scenarios.</t>
  </si>
  <si>
    <t>Enter the expected market capitalization after the IPO in cell E146.</t>
  </si>
  <si>
    <t>Investment Input &amp; Summary:</t>
  </si>
  <si>
    <t>Company</t>
  </si>
  <si>
    <t>Name</t>
  </si>
  <si>
    <t xml:space="preserve"> </t>
  </si>
  <si>
    <t>Founder</t>
  </si>
  <si>
    <t>na</t>
  </si>
  <si>
    <t>Total</t>
  </si>
  <si>
    <t>Scenario</t>
  </si>
  <si>
    <t>IPO MKT</t>
  </si>
  <si>
    <t>Market Valuation Scenario</t>
  </si>
  <si>
    <t>Pre</t>
  </si>
  <si>
    <t>Value</t>
  </si>
  <si>
    <t>Post</t>
  </si>
  <si>
    <t xml:space="preserve"> Target Valuations</t>
  </si>
  <si>
    <t>Ownership Summary (Post)</t>
  </si>
  <si>
    <t>Ownership</t>
  </si>
  <si>
    <t>Est/ Value</t>
  </si>
  <si>
    <t>Est / Value</t>
  </si>
  <si>
    <t>(%)</t>
  </si>
  <si>
    <t>($M)</t>
  </si>
  <si>
    <t>IPO ($M)</t>
  </si>
  <si>
    <t xml:space="preserve">     Founder(s)</t>
  </si>
  <si>
    <t xml:space="preserve">     Mgmt Team</t>
  </si>
  <si>
    <t xml:space="preserve">          Mgmt Individuals</t>
  </si>
  <si>
    <t xml:space="preserve">     Stock Options</t>
  </si>
  <si>
    <t>Return</t>
  </si>
  <si>
    <t xml:space="preserve">     Total</t>
  </si>
  <si>
    <t>Shares</t>
  </si>
  <si>
    <t>Value Per</t>
  </si>
  <si>
    <t>(#)</t>
  </si>
  <si>
    <t>($)</t>
  </si>
  <si>
    <t>Share</t>
  </si>
  <si>
    <t xml:space="preserve">     Total Issued</t>
  </si>
  <si>
    <t xml:space="preserve">     Total Outstanding</t>
  </si>
  <si>
    <t xml:space="preserve"> Starting Ownership Split</t>
  </si>
  <si>
    <t>Valuation</t>
  </si>
  <si>
    <t>Mgmt Team</t>
  </si>
  <si>
    <t>Stock</t>
  </si>
  <si>
    <t>Options</t>
  </si>
  <si>
    <t>investor</t>
  </si>
  <si>
    <r>
      <t>Part A:</t>
    </r>
    <r>
      <rPr>
        <sz val="12"/>
        <rFont val="Times New Roman"/>
        <family val="1"/>
      </rPr>
      <t xml:space="preserve">  </t>
    </r>
    <r>
      <rPr>
        <b/>
        <sz val="12"/>
        <rFont val="Times New Roman"/>
        <family val="1"/>
      </rPr>
      <t>Investment Input &amp; Summary</t>
    </r>
  </si>
  <si>
    <t>Dilution Calculator Detailed Overview</t>
  </si>
  <si>
    <t>Note that this calculator shows the impact of equity set aside for management in the form of stock options.  Also note that the tool does not cover all possible equity instruments, such as warrants issued in debt financings, and does not make a distinction between common and preferred stock.</t>
  </si>
  <si>
    <t>While is is important to understand how a shareholder is diluted when new shares are issued, focusing on percentage of ownership can be misleading.  The important paramenter for all sharehodlers to keep in mind is the total value of the company, and the value of the shareholders' stock.</t>
  </si>
  <si>
    <t>Preparation for Use of the Dilution Calculator Detailed</t>
  </si>
  <si>
    <t>You should have completed a detailed forecast and financing plan.  The financial forecast helps you determine the amount of funding you need.  Talk with your financial advisors to determine pre-money valuations for each round</t>
  </si>
  <si>
    <t>Proceed to Part A</t>
  </si>
  <si>
    <t xml:space="preserve">All entries will be in pale yellow cells, other cells are calculated for you.  Enter the expected funds to be raised in each round of financing.   </t>
  </si>
  <si>
    <t>Part B:  Market Valuation Scenario</t>
  </si>
  <si>
    <t>Total: Pre IPO</t>
  </si>
  <si>
    <t>1)</t>
  </si>
  <si>
    <t>2)</t>
  </si>
  <si>
    <r>
      <t>Tip:</t>
    </r>
    <r>
      <rPr>
        <sz val="12"/>
        <rFont val="Times New Roman"/>
        <family val="1"/>
      </rPr>
      <t xml:space="preserve">  Make sure that the management team and stock option pools are enough for the life of the Company.</t>
    </r>
  </si>
  <si>
    <t xml:space="preserve">Notice that each round of financing is color coded. </t>
  </si>
  <si>
    <t>scenario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</si>
</sst>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quot;$&quot;* #,##0.0_);_(&quot;$&quot;* \(#,##0.0\);_(&quot;$&quot;* &quot;-&quot;??_);_(@_)"/>
    <numFmt numFmtId="167" formatCode="_(* #,##0_);_(* \(#,##0\);_(* &quot;-&quot;??_);_(@_)"/>
    <numFmt numFmtId="168" formatCode="_(* #,##0.0_);_(* \(#,##0.0\);_(* &quot;-&quot;?_);_(@_)"/>
  </numFmts>
  <fonts count="32">
    <font>
      <sz val="12"/>
      <name val="Times New Roman"/>
      <family val="1"/>
    </font>
    <font>
      <sz val="10"/>
      <name val="Arial"/>
      <family val="0"/>
    </font>
    <font>
      <b/>
      <sz val="14"/>
      <name val="Arial"/>
      <family val="2"/>
    </font>
    <font>
      <b/>
      <sz val="10"/>
      <name val="Arial"/>
      <family val="2"/>
    </font>
    <font>
      <b/>
      <sz val="14"/>
      <name val="Times New Roman"/>
      <family val="1"/>
    </font>
    <font>
      <b/>
      <sz val="10"/>
      <name val="Times New Roman"/>
      <family val="1"/>
    </font>
    <font>
      <b/>
      <sz val="10"/>
      <color indexed="45"/>
      <name val="Times New Roman"/>
      <family val="1"/>
    </font>
    <font>
      <b/>
      <sz val="10"/>
      <color indexed="41"/>
      <name val="Times New Roman"/>
      <family val="1"/>
    </font>
    <font>
      <b/>
      <sz val="10"/>
      <color indexed="47"/>
      <name val="Times New Roman"/>
      <family val="1"/>
    </font>
    <font>
      <b/>
      <sz val="10"/>
      <color indexed="42"/>
      <name val="Times New Roman"/>
      <family val="1"/>
    </font>
    <font>
      <b/>
      <sz val="10"/>
      <color indexed="9"/>
      <name val="Times New Roman"/>
      <family val="1"/>
    </font>
    <font>
      <sz val="10"/>
      <name val="Times New Roman"/>
      <family val="1"/>
    </font>
    <font>
      <b/>
      <sz val="10"/>
      <color indexed="10"/>
      <name val="Times New Roman"/>
      <family val="1"/>
    </font>
    <font>
      <b/>
      <i/>
      <sz val="10"/>
      <name val="Times New Roman"/>
      <family val="1"/>
    </font>
    <font>
      <i/>
      <sz val="10"/>
      <name val="Times New Roman"/>
      <family val="1"/>
    </font>
    <font>
      <sz val="10"/>
      <color indexed="10"/>
      <name val="Times New Roman"/>
      <family val="1"/>
    </font>
    <font>
      <b/>
      <sz val="9"/>
      <name val="Times New Roman"/>
      <family val="1"/>
    </font>
    <font>
      <sz val="9"/>
      <name val="Times New Roman"/>
      <family val="1"/>
    </font>
    <font>
      <sz val="9"/>
      <color indexed="45"/>
      <name val="Times New Roman"/>
      <family val="1"/>
    </font>
    <font>
      <sz val="9"/>
      <color indexed="41"/>
      <name val="Times New Roman"/>
      <family val="1"/>
    </font>
    <font>
      <sz val="9"/>
      <color indexed="47"/>
      <name val="Times New Roman"/>
      <family val="1"/>
    </font>
    <font>
      <sz val="9"/>
      <color indexed="42"/>
      <name val="Times New Roman"/>
      <family val="1"/>
    </font>
    <font>
      <b/>
      <sz val="9"/>
      <color indexed="9"/>
      <name val="Times New Roman"/>
      <family val="1"/>
    </font>
    <font>
      <b/>
      <i/>
      <sz val="9"/>
      <name val="Times New Roman"/>
      <family val="1"/>
    </font>
    <font>
      <sz val="9"/>
      <color indexed="10"/>
      <name val="Times New Roman"/>
      <family val="1"/>
    </font>
    <font>
      <i/>
      <sz val="9"/>
      <name val="Times New Roman"/>
      <family val="1"/>
    </font>
    <font>
      <b/>
      <sz val="12"/>
      <name val="Times New Roman"/>
      <family val="1"/>
    </font>
    <font>
      <sz val="12"/>
      <color indexed="10"/>
      <name val="Times New Roman"/>
      <family val="1"/>
    </font>
    <font>
      <b/>
      <sz val="11"/>
      <name val="Times New Roman"/>
      <family val="1"/>
    </font>
    <font>
      <sz val="11"/>
      <name val="Times New Roman"/>
      <family val="1"/>
    </font>
    <font>
      <u val="single"/>
      <sz val="9"/>
      <color indexed="12"/>
      <name val="Times New Roman"/>
      <family val="1"/>
    </font>
    <font>
      <u val="single"/>
      <sz val="9"/>
      <color indexed="36"/>
      <name val="Times New Roman"/>
      <family val="1"/>
    </font>
  </fonts>
  <fills count="1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17"/>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solid">
        <fgColor indexed="13"/>
        <bgColor indexed="64"/>
      </patternFill>
    </fill>
  </fills>
  <borders count="67">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style="dashed"/>
      <bottom style="dashed"/>
    </border>
    <border>
      <left>
        <color indexed="63"/>
      </left>
      <right style="thin"/>
      <top>
        <color indexed="63"/>
      </top>
      <bottom style="medium"/>
    </border>
    <border>
      <left style="medium"/>
      <right style="medium"/>
      <top style="dashed"/>
      <bottom style="dashed"/>
    </border>
    <border>
      <left>
        <color indexed="63"/>
      </left>
      <right>
        <color indexed="63"/>
      </right>
      <top style="dashed"/>
      <bottom style="dashed"/>
    </border>
    <border>
      <left>
        <color indexed="63"/>
      </left>
      <right>
        <color indexed="63"/>
      </right>
      <top>
        <color indexed="63"/>
      </top>
      <bottom style="medium"/>
    </border>
    <border>
      <left style="thin"/>
      <right>
        <color indexed="63"/>
      </right>
      <top>
        <color indexed="63"/>
      </top>
      <bottom style="dashed"/>
    </border>
    <border>
      <left style="thin"/>
      <right style="thin"/>
      <top>
        <color indexed="63"/>
      </top>
      <bottom style="dashed"/>
    </border>
    <border>
      <left style="thin"/>
      <right style="thin"/>
      <top style="dashed"/>
      <bottom style="dashed"/>
    </border>
    <border>
      <left style="thin"/>
      <right>
        <color indexed="63"/>
      </right>
      <top style="dashed"/>
      <bottom style="dashed"/>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dashed"/>
    </border>
    <border>
      <left style="thin"/>
      <right style="medium"/>
      <top>
        <color indexed="63"/>
      </top>
      <bottom style="dashed"/>
    </border>
    <border>
      <left style="thin"/>
      <right style="medium"/>
      <top style="dashed"/>
      <bottom style="dashed"/>
    </border>
    <border>
      <left style="thin"/>
      <right style="medium"/>
      <top>
        <color indexed="63"/>
      </top>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color indexed="63"/>
      </top>
      <bottom style="dashed"/>
    </border>
    <border>
      <left style="medium"/>
      <right>
        <color indexed="63"/>
      </right>
      <top style="dashed"/>
      <bottom style="dashed"/>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dashed"/>
    </border>
    <border>
      <left>
        <color indexed="63"/>
      </left>
      <right style="medium"/>
      <top style="dashed"/>
      <bottom style="dashed"/>
    </border>
    <border>
      <left>
        <color indexed="63"/>
      </left>
      <right style="medium"/>
      <top>
        <color indexed="63"/>
      </top>
      <bottom style="medium"/>
    </border>
    <border>
      <left>
        <color indexed="63"/>
      </left>
      <right style="medium"/>
      <top style="medium"/>
      <bottom style="medium"/>
    </border>
    <border>
      <left style="thin"/>
      <right style="medium"/>
      <top style="thin"/>
      <bottom style="thin"/>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thin"/>
      <bottom style="thin"/>
    </border>
    <border>
      <left style="thin"/>
      <right style="thin"/>
      <top style="thin"/>
      <bottom style="medium"/>
    </border>
    <border>
      <left>
        <color indexed="63"/>
      </left>
      <right style="thin"/>
      <top style="medium"/>
      <bottom style="thin"/>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377">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0" fillId="0" borderId="0" xfId="0"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5" fillId="2" borderId="1" xfId="0" applyFont="1" applyFill="1" applyBorder="1" applyAlignment="1" applyProtection="1">
      <alignment horizontal="center"/>
      <protection/>
    </xf>
    <xf numFmtId="0" fontId="5" fillId="2" borderId="2" xfId="0" applyFont="1" applyFill="1" applyBorder="1" applyAlignment="1" applyProtection="1">
      <alignment horizontal="center"/>
      <protection/>
    </xf>
    <xf numFmtId="0" fontId="5" fillId="3" borderId="2" xfId="0" applyFont="1" applyFill="1" applyBorder="1" applyAlignment="1" applyProtection="1">
      <alignment horizontal="center"/>
      <protection/>
    </xf>
    <xf numFmtId="0" fontId="6" fillId="4" borderId="2" xfId="0" applyFont="1" applyFill="1" applyBorder="1" applyAlignment="1" applyProtection="1">
      <alignment horizontal="center"/>
      <protection/>
    </xf>
    <xf numFmtId="0" fontId="10" fillId="5" borderId="3" xfId="0" applyFont="1" applyFill="1" applyBorder="1" applyAlignment="1" applyProtection="1">
      <alignment horizontal="center"/>
      <protection/>
    </xf>
    <xf numFmtId="0" fontId="11" fillId="0" borderId="0" xfId="0" applyFont="1" applyAlignment="1" applyProtection="1">
      <alignment/>
      <protection/>
    </xf>
    <xf numFmtId="0" fontId="11" fillId="0" borderId="4" xfId="0" applyFont="1" applyBorder="1" applyAlignment="1" applyProtection="1">
      <alignment horizontal="center"/>
      <protection/>
    </xf>
    <xf numFmtId="0" fontId="5" fillId="0" borderId="0" xfId="0" applyFont="1" applyAlignment="1" applyProtection="1">
      <alignment/>
      <protection/>
    </xf>
    <xf numFmtId="0" fontId="10" fillId="6" borderId="5" xfId="0" applyFont="1" applyFill="1" applyBorder="1" applyAlignment="1" applyProtection="1">
      <alignment/>
      <protection/>
    </xf>
    <xf numFmtId="0" fontId="10" fillId="6" borderId="6" xfId="0" applyFont="1" applyFill="1" applyBorder="1" applyAlignment="1" applyProtection="1">
      <alignment/>
      <protection/>
    </xf>
    <xf numFmtId="0" fontId="5" fillId="3" borderId="7" xfId="0" applyFont="1" applyFill="1" applyBorder="1" applyAlignment="1" applyProtection="1">
      <alignment horizontal="center"/>
      <protection/>
    </xf>
    <xf numFmtId="9" fontId="5" fillId="4" borderId="7" xfId="21" applyFont="1" applyFill="1" applyBorder="1" applyAlignment="1" applyProtection="1">
      <alignment horizontal="center"/>
      <protection/>
    </xf>
    <xf numFmtId="0" fontId="5" fillId="4" borderId="7" xfId="0" applyFont="1" applyFill="1" applyBorder="1" applyAlignment="1" applyProtection="1">
      <alignment horizontal="center"/>
      <protection/>
    </xf>
    <xf numFmtId="0" fontId="5" fillId="3" borderId="8" xfId="0" applyFont="1" applyFill="1" applyBorder="1" applyAlignment="1" applyProtection="1">
      <alignment horizontal="center"/>
      <protection/>
    </xf>
    <xf numFmtId="9" fontId="5" fillId="4" borderId="8" xfId="21" applyFont="1" applyFill="1" applyBorder="1" applyAlignment="1" applyProtection="1">
      <alignment horizontal="center"/>
      <protection/>
    </xf>
    <xf numFmtId="0" fontId="5" fillId="4" borderId="8" xfId="0" applyFont="1" applyFill="1" applyBorder="1" applyAlignment="1" applyProtection="1">
      <alignment horizontal="center"/>
      <protection/>
    </xf>
    <xf numFmtId="0" fontId="5" fillId="0" borderId="9" xfId="0" applyFont="1" applyBorder="1" applyAlignment="1" applyProtection="1">
      <alignment horizontal="center"/>
      <protection/>
    </xf>
    <xf numFmtId="1" fontId="11" fillId="0" borderId="10" xfId="15" applyNumberFormat="1" applyFont="1" applyBorder="1" applyAlignment="1" applyProtection="1">
      <alignment horizontal="center"/>
      <protection/>
    </xf>
    <xf numFmtId="1" fontId="11" fillId="0" borderId="11" xfId="15" applyNumberFormat="1" applyFont="1" applyBorder="1" applyAlignment="1" applyProtection="1">
      <alignment horizontal="center"/>
      <protection/>
    </xf>
    <xf numFmtId="167" fontId="11" fillId="0" borderId="0" xfId="0" applyNumberFormat="1" applyFont="1" applyAlignment="1" applyProtection="1">
      <alignment/>
      <protection/>
    </xf>
    <xf numFmtId="0" fontId="11" fillId="0" borderId="0" xfId="0" applyFont="1" applyAlignment="1" applyProtection="1">
      <alignment horizontal="center"/>
      <protection/>
    </xf>
    <xf numFmtId="0" fontId="5" fillId="4" borderId="12" xfId="0" applyFont="1" applyFill="1" applyBorder="1" applyAlignment="1" applyProtection="1">
      <alignment/>
      <protection/>
    </xf>
    <xf numFmtId="0" fontId="5" fillId="4" borderId="13" xfId="0" applyFont="1" applyFill="1" applyBorder="1" applyAlignment="1" applyProtection="1">
      <alignment/>
      <protection/>
    </xf>
    <xf numFmtId="9" fontId="12" fillId="4" borderId="14" xfId="21" applyFont="1" applyFill="1" applyBorder="1" applyAlignment="1" applyProtection="1">
      <alignment horizontal="center"/>
      <protection/>
    </xf>
    <xf numFmtId="9" fontId="5" fillId="4" borderId="14" xfId="21" applyFont="1" applyFill="1" applyBorder="1" applyAlignment="1" applyProtection="1">
      <alignment horizontal="center"/>
      <protection/>
    </xf>
    <xf numFmtId="165" fontId="14" fillId="0" borderId="0" xfId="0" applyNumberFormat="1" applyFont="1" applyAlignment="1" applyProtection="1">
      <alignment horizontal="center"/>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5" fillId="3" borderId="16" xfId="0" applyFont="1" applyFill="1" applyBorder="1" applyAlignment="1" applyProtection="1">
      <alignment horizontal="center"/>
      <protection/>
    </xf>
    <xf numFmtId="0" fontId="5" fillId="0" borderId="18"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1" xfId="0" applyFont="1" applyBorder="1" applyAlignment="1" applyProtection="1">
      <alignment horizontal="center"/>
      <protection/>
    </xf>
    <xf numFmtId="164" fontId="11" fillId="0" borderId="22" xfId="17" applyNumberFormat="1" applyFont="1" applyBorder="1" applyAlignment="1" applyProtection="1">
      <alignment/>
      <protection/>
    </xf>
    <xf numFmtId="164" fontId="11" fillId="0" borderId="23" xfId="17" applyNumberFormat="1" applyFont="1" applyBorder="1" applyAlignment="1" applyProtection="1">
      <alignment/>
      <protection/>
    </xf>
    <xf numFmtId="165" fontId="11" fillId="0" borderId="0" xfId="21" applyNumberFormat="1" applyFont="1" applyBorder="1" applyAlignment="1" applyProtection="1">
      <alignment horizontal="center"/>
      <protection/>
    </xf>
    <xf numFmtId="165" fontId="11" fillId="0" borderId="23" xfId="21" applyNumberFormat="1" applyFont="1" applyBorder="1" applyAlignment="1" applyProtection="1">
      <alignment horizontal="center"/>
      <protection/>
    </xf>
    <xf numFmtId="165" fontId="11" fillId="3" borderId="23" xfId="21" applyNumberFormat="1" applyFont="1" applyFill="1" applyBorder="1" applyAlignment="1" applyProtection="1">
      <alignment horizontal="center"/>
      <protection/>
    </xf>
    <xf numFmtId="165" fontId="11" fillId="0" borderId="16" xfId="21" applyNumberFormat="1" applyFont="1" applyBorder="1" applyAlignment="1" applyProtection="1">
      <alignment horizontal="center"/>
      <protection/>
    </xf>
    <xf numFmtId="165" fontId="11" fillId="0" borderId="18" xfId="0" applyNumberFormat="1" applyFont="1" applyBorder="1" applyAlignment="1" applyProtection="1">
      <alignment horizontal="center"/>
      <protection/>
    </xf>
    <xf numFmtId="165" fontId="11" fillId="0" borderId="18" xfId="21" applyNumberFormat="1" applyFont="1" applyBorder="1" applyAlignment="1" applyProtection="1">
      <alignment horizontal="center"/>
      <protection/>
    </xf>
    <xf numFmtId="165" fontId="11" fillId="0" borderId="24" xfId="0" applyNumberFormat="1" applyFont="1" applyBorder="1" applyAlignment="1" applyProtection="1">
      <alignment horizontal="center"/>
      <protection/>
    </xf>
    <xf numFmtId="164" fontId="11" fillId="0" borderId="22" xfId="17" applyNumberFormat="1" applyFont="1" applyFill="1" applyBorder="1" applyAlignment="1" applyProtection="1">
      <alignment/>
      <protection/>
    </xf>
    <xf numFmtId="164" fontId="11" fillId="0" borderId="23" xfId="17" applyNumberFormat="1" applyFont="1" applyFill="1" applyBorder="1" applyAlignment="1" applyProtection="1">
      <alignment/>
      <protection/>
    </xf>
    <xf numFmtId="165" fontId="11" fillId="0" borderId="0" xfId="21" applyNumberFormat="1" applyFont="1" applyFill="1" applyBorder="1" applyAlignment="1" applyProtection="1">
      <alignment horizontal="center"/>
      <protection/>
    </xf>
    <xf numFmtId="165" fontId="11" fillId="0" borderId="23" xfId="21" applyNumberFormat="1" applyFont="1" applyFill="1" applyBorder="1" applyAlignment="1" applyProtection="1">
      <alignment horizontal="center"/>
      <protection/>
    </xf>
    <xf numFmtId="165" fontId="11" fillId="0" borderId="24" xfId="0" applyNumberFormat="1" applyFont="1" applyFill="1" applyBorder="1" applyAlignment="1" applyProtection="1">
      <alignment horizontal="center"/>
      <protection/>
    </xf>
    <xf numFmtId="164" fontId="15" fillId="0" borderId="22" xfId="17" applyNumberFormat="1" applyFont="1" applyBorder="1" applyAlignment="1" applyProtection="1">
      <alignment/>
      <protection locked="0"/>
    </xf>
    <xf numFmtId="164" fontId="15" fillId="0" borderId="15" xfId="17" applyNumberFormat="1" applyFont="1" applyBorder="1" applyAlignment="1" applyProtection="1">
      <alignment/>
      <protection locked="0"/>
    </xf>
    <xf numFmtId="164" fontId="11" fillId="0" borderId="16" xfId="17" applyNumberFormat="1" applyFont="1" applyBorder="1" applyAlignment="1" applyProtection="1">
      <alignment/>
      <protection/>
    </xf>
    <xf numFmtId="165" fontId="11" fillId="0" borderId="17" xfId="21" applyNumberFormat="1" applyFont="1" applyBorder="1" applyAlignment="1" applyProtection="1">
      <alignment horizontal="center"/>
      <protection/>
    </xf>
    <xf numFmtId="165" fontId="11" fillId="3" borderId="16" xfId="21" applyNumberFormat="1" applyFont="1" applyFill="1" applyBorder="1" applyAlignment="1" applyProtection="1">
      <alignment horizontal="center"/>
      <protection/>
    </xf>
    <xf numFmtId="0" fontId="11" fillId="0" borderId="0" xfId="0" applyFont="1" applyAlignment="1">
      <alignment/>
    </xf>
    <xf numFmtId="164" fontId="16" fillId="0" borderId="25" xfId="17" applyNumberFormat="1" applyFont="1" applyBorder="1" applyAlignment="1" applyProtection="1">
      <alignment/>
      <protection/>
    </xf>
    <xf numFmtId="0" fontId="17" fillId="0" borderId="0" xfId="0" applyFont="1" applyAlignment="1" applyProtection="1">
      <alignment/>
      <protection/>
    </xf>
    <xf numFmtId="0" fontId="23" fillId="4" borderId="26" xfId="0" applyFont="1" applyFill="1" applyBorder="1" applyAlignment="1" applyProtection="1">
      <alignment/>
      <protection/>
    </xf>
    <xf numFmtId="0" fontId="23" fillId="4" borderId="27" xfId="0" applyFont="1" applyFill="1" applyBorder="1" applyAlignment="1" applyProtection="1">
      <alignment/>
      <protection/>
    </xf>
    <xf numFmtId="0" fontId="16" fillId="3" borderId="10" xfId="0" applyFont="1" applyFill="1" applyBorder="1" applyAlignment="1" applyProtection="1">
      <alignment horizontal="center"/>
      <protection/>
    </xf>
    <xf numFmtId="0" fontId="23" fillId="4" borderId="28" xfId="0" applyFont="1" applyFill="1" applyBorder="1" applyAlignment="1" applyProtection="1">
      <alignment/>
      <protection/>
    </xf>
    <xf numFmtId="0" fontId="22" fillId="6" borderId="6" xfId="0" applyFont="1" applyFill="1" applyBorder="1" applyAlignment="1" applyProtection="1">
      <alignment/>
      <protection/>
    </xf>
    <xf numFmtId="0" fontId="22" fillId="6" borderId="6" xfId="0" applyFont="1" applyFill="1" applyBorder="1" applyAlignment="1" applyProtection="1">
      <alignment horizontal="center"/>
      <protection locked="0"/>
    </xf>
    <xf numFmtId="0" fontId="16" fillId="3" borderId="7" xfId="0" applyFont="1" applyFill="1" applyBorder="1" applyAlignment="1" applyProtection="1">
      <alignment horizontal="center"/>
      <protection/>
    </xf>
    <xf numFmtId="9" fontId="16" fillId="4" borderId="7" xfId="21" applyFont="1" applyFill="1" applyBorder="1" applyAlignment="1" applyProtection="1">
      <alignment horizontal="center"/>
      <protection/>
    </xf>
    <xf numFmtId="0" fontId="16" fillId="4" borderId="7" xfId="0" applyFont="1" applyFill="1" applyBorder="1" applyAlignment="1" applyProtection="1">
      <alignment horizontal="center"/>
      <protection/>
    </xf>
    <xf numFmtId="0" fontId="22" fillId="5" borderId="9" xfId="0" applyFont="1" applyFill="1" applyBorder="1" applyAlignment="1" applyProtection="1">
      <alignment horizontal="center"/>
      <protection/>
    </xf>
    <xf numFmtId="0" fontId="16" fillId="3" borderId="8" xfId="0" applyFont="1" applyFill="1" applyBorder="1" applyAlignment="1" applyProtection="1">
      <alignment horizontal="center"/>
      <protection/>
    </xf>
    <xf numFmtId="9" fontId="16" fillId="4" borderId="8" xfId="21" applyFont="1" applyFill="1" applyBorder="1" applyAlignment="1" applyProtection="1">
      <alignment horizontal="center"/>
      <protection/>
    </xf>
    <xf numFmtId="0" fontId="16" fillId="4" borderId="8" xfId="0" applyFont="1" applyFill="1" applyBorder="1" applyAlignment="1" applyProtection="1">
      <alignment horizontal="center"/>
      <protection/>
    </xf>
    <xf numFmtId="0" fontId="22" fillId="5" borderId="10" xfId="0" applyFont="1" applyFill="1" applyBorder="1" applyAlignment="1" applyProtection="1">
      <alignment horizontal="center"/>
      <protection/>
    </xf>
    <xf numFmtId="166" fontId="16" fillId="3" borderId="29" xfId="17" applyNumberFormat="1" applyFont="1" applyFill="1" applyBorder="1" applyAlignment="1" applyProtection="1">
      <alignment/>
      <protection/>
    </xf>
    <xf numFmtId="166" fontId="16" fillId="3" borderId="11" xfId="17" applyNumberFormat="1" applyFont="1" applyFill="1" applyBorder="1" applyAlignment="1" applyProtection="1">
      <alignment/>
      <protection/>
    </xf>
    <xf numFmtId="9" fontId="24" fillId="0" borderId="23" xfId="21" applyFont="1" applyBorder="1" applyAlignment="1" applyProtection="1">
      <alignment/>
      <protection locked="0"/>
    </xf>
    <xf numFmtId="9" fontId="18" fillId="4" borderId="23" xfId="21" applyFont="1" applyFill="1" applyBorder="1" applyAlignment="1" applyProtection="1">
      <alignment/>
      <protection/>
    </xf>
    <xf numFmtId="0" fontId="25" fillId="3" borderId="26" xfId="0" applyFont="1" applyFill="1" applyBorder="1" applyAlignment="1" applyProtection="1">
      <alignment/>
      <protection/>
    </xf>
    <xf numFmtId="164" fontId="17" fillId="3" borderId="30" xfId="17" applyNumberFormat="1" applyFont="1" applyFill="1" applyBorder="1" applyAlignment="1" applyProtection="1">
      <alignment horizontal="center"/>
      <protection/>
    </xf>
    <xf numFmtId="0" fontId="25" fillId="3" borderId="27" xfId="0" applyFont="1" applyFill="1" applyBorder="1" applyAlignment="1" applyProtection="1">
      <alignment/>
      <protection/>
    </xf>
    <xf numFmtId="164" fontId="17" fillId="4" borderId="30" xfId="17" applyNumberFormat="1" applyFont="1" applyFill="1" applyBorder="1" applyAlignment="1" applyProtection="1">
      <alignment/>
      <protection/>
    </xf>
    <xf numFmtId="164" fontId="17" fillId="3" borderId="31" xfId="17" applyNumberFormat="1" applyFont="1" applyFill="1" applyBorder="1" applyAlignment="1" applyProtection="1">
      <alignment horizontal="center"/>
      <protection/>
    </xf>
    <xf numFmtId="0" fontId="25" fillId="3" borderId="28" xfId="0" applyFont="1" applyFill="1" applyBorder="1" applyAlignment="1" applyProtection="1">
      <alignment/>
      <protection/>
    </xf>
    <xf numFmtId="164" fontId="17" fillId="4" borderId="31" xfId="17" applyNumberFormat="1" applyFont="1" applyFill="1" applyBorder="1" applyAlignment="1" applyProtection="1">
      <alignment/>
      <protection/>
    </xf>
    <xf numFmtId="165" fontId="17" fillId="3" borderId="32" xfId="21" applyNumberFormat="1" applyFont="1" applyFill="1" applyBorder="1" applyAlignment="1" applyProtection="1">
      <alignment horizontal="right"/>
      <protection/>
    </xf>
    <xf numFmtId="166" fontId="17" fillId="3" borderId="33" xfId="17" applyNumberFormat="1" applyFont="1" applyFill="1" applyBorder="1" applyAlignment="1" applyProtection="1">
      <alignment horizontal="center"/>
      <protection/>
    </xf>
    <xf numFmtId="166" fontId="17" fillId="3" borderId="33" xfId="17" applyNumberFormat="1" applyFont="1" applyFill="1" applyBorder="1" applyAlignment="1" applyProtection="1">
      <alignment/>
      <protection/>
    </xf>
    <xf numFmtId="165" fontId="17" fillId="3" borderId="32" xfId="21" applyNumberFormat="1" applyFont="1" applyFill="1" applyBorder="1" applyAlignment="1" applyProtection="1">
      <alignment horizontal="center"/>
      <protection/>
    </xf>
    <xf numFmtId="44" fontId="17" fillId="3" borderId="34" xfId="17" applyFont="1" applyFill="1" applyBorder="1" applyAlignment="1" applyProtection="1">
      <alignment horizontal="center"/>
      <protection/>
    </xf>
    <xf numFmtId="165" fontId="17" fillId="3" borderId="35" xfId="21" applyNumberFormat="1" applyFont="1" applyFill="1" applyBorder="1" applyAlignment="1" applyProtection="1">
      <alignment horizontal="right"/>
      <protection/>
    </xf>
    <xf numFmtId="44" fontId="17" fillId="3" borderId="34" xfId="17" applyFont="1" applyFill="1" applyBorder="1" applyAlignment="1" applyProtection="1">
      <alignment/>
      <protection/>
    </xf>
    <xf numFmtId="165" fontId="17" fillId="3" borderId="35" xfId="21" applyNumberFormat="1" applyFont="1" applyFill="1" applyBorder="1" applyAlignment="1" applyProtection="1">
      <alignment horizontal="center"/>
      <protection/>
    </xf>
    <xf numFmtId="165" fontId="25" fillId="3" borderId="35" xfId="21" applyNumberFormat="1" applyFont="1" applyFill="1" applyBorder="1" applyAlignment="1" applyProtection="1">
      <alignment horizontal="right"/>
      <protection/>
    </xf>
    <xf numFmtId="165" fontId="25" fillId="3" borderId="35" xfId="21" applyNumberFormat="1" applyFont="1" applyFill="1" applyBorder="1" applyAlignment="1" applyProtection="1">
      <alignment horizontal="center"/>
      <protection/>
    </xf>
    <xf numFmtId="165" fontId="17" fillId="3" borderId="36" xfId="21" applyNumberFormat="1" applyFont="1" applyFill="1" applyBorder="1" applyAlignment="1" applyProtection="1">
      <alignment horizontal="center"/>
      <protection/>
    </xf>
    <xf numFmtId="44" fontId="17" fillId="3" borderId="37" xfId="17" applyFont="1" applyFill="1" applyBorder="1" applyAlignment="1" applyProtection="1">
      <alignment horizontal="center"/>
      <protection/>
    </xf>
    <xf numFmtId="44" fontId="17" fillId="3" borderId="37" xfId="17" applyFont="1" applyFill="1" applyBorder="1" applyAlignment="1" applyProtection="1">
      <alignment/>
      <protection/>
    </xf>
    <xf numFmtId="165" fontId="17" fillId="3" borderId="38" xfId="21" applyNumberFormat="1" applyFont="1" applyFill="1" applyBorder="1" applyAlignment="1" applyProtection="1">
      <alignment horizontal="center"/>
      <protection/>
    </xf>
    <xf numFmtId="165" fontId="17" fillId="3" borderId="30" xfId="21" applyNumberFormat="1" applyFont="1" applyFill="1" applyBorder="1" applyAlignment="1" applyProtection="1">
      <alignment horizontal="center"/>
      <protection/>
    </xf>
    <xf numFmtId="165" fontId="25" fillId="3" borderId="30" xfId="21" applyNumberFormat="1" applyFont="1" applyFill="1" applyBorder="1" applyAlignment="1" applyProtection="1">
      <alignment horizontal="center"/>
      <protection/>
    </xf>
    <xf numFmtId="167" fontId="17" fillId="3" borderId="32" xfId="15" applyNumberFormat="1" applyFont="1" applyFill="1" applyBorder="1" applyAlignment="1" applyProtection="1">
      <alignment horizontal="right"/>
      <protection/>
    </xf>
    <xf numFmtId="44" fontId="17" fillId="3" borderId="33" xfId="17" applyNumberFormat="1" applyFont="1" applyFill="1" applyBorder="1" applyAlignment="1" applyProtection="1">
      <alignment/>
      <protection/>
    </xf>
    <xf numFmtId="167" fontId="17" fillId="3" borderId="38" xfId="15" applyNumberFormat="1" applyFont="1" applyFill="1" applyBorder="1" applyAlignment="1" applyProtection="1">
      <alignment/>
      <protection/>
    </xf>
    <xf numFmtId="167" fontId="17" fillId="3" borderId="32" xfId="15" applyNumberFormat="1" applyFont="1" applyFill="1" applyBorder="1" applyAlignment="1" applyProtection="1">
      <alignment horizontal="center"/>
      <protection/>
    </xf>
    <xf numFmtId="164" fontId="17" fillId="3" borderId="39" xfId="17" applyNumberFormat="1" applyFont="1" applyFill="1" applyBorder="1" applyAlignment="1" applyProtection="1">
      <alignment/>
      <protection/>
    </xf>
    <xf numFmtId="167" fontId="17" fillId="3" borderId="35" xfId="15" applyNumberFormat="1" applyFont="1" applyFill="1" applyBorder="1" applyAlignment="1" applyProtection="1">
      <alignment horizontal="right"/>
      <protection/>
    </xf>
    <xf numFmtId="167" fontId="17" fillId="3" borderId="30" xfId="15" applyNumberFormat="1" applyFont="1" applyFill="1" applyBorder="1" applyAlignment="1" applyProtection="1">
      <alignment/>
      <protection/>
    </xf>
    <xf numFmtId="167" fontId="17" fillId="3" borderId="35" xfId="15" applyNumberFormat="1" applyFont="1" applyFill="1" applyBorder="1" applyAlignment="1" applyProtection="1">
      <alignment horizontal="center"/>
      <protection/>
    </xf>
    <xf numFmtId="164" fontId="17" fillId="3" borderId="40" xfId="17" applyNumberFormat="1" applyFont="1" applyFill="1" applyBorder="1" applyAlignment="1" applyProtection="1">
      <alignment/>
      <protection/>
    </xf>
    <xf numFmtId="43" fontId="17" fillId="3" borderId="35" xfId="15" applyFont="1" applyFill="1" applyBorder="1" applyAlignment="1" applyProtection="1">
      <alignment horizontal="right"/>
      <protection/>
    </xf>
    <xf numFmtId="43" fontId="17" fillId="3" borderId="30" xfId="15" applyFont="1" applyFill="1" applyBorder="1" applyAlignment="1" applyProtection="1">
      <alignment/>
      <protection/>
    </xf>
    <xf numFmtId="44" fontId="17" fillId="3" borderId="40" xfId="17" applyFont="1" applyFill="1" applyBorder="1" applyAlignment="1" applyProtection="1">
      <alignment/>
      <protection/>
    </xf>
    <xf numFmtId="167" fontId="17" fillId="3" borderId="36" xfId="15" applyNumberFormat="1" applyFont="1" applyFill="1" applyBorder="1" applyAlignment="1" applyProtection="1">
      <alignment horizontal="center"/>
      <protection/>
    </xf>
    <xf numFmtId="167" fontId="17" fillId="3" borderId="37" xfId="15" applyNumberFormat="1" applyFont="1" applyFill="1" applyBorder="1" applyAlignment="1" applyProtection="1">
      <alignment/>
      <protection/>
    </xf>
    <xf numFmtId="164" fontId="17" fillId="3" borderId="37" xfId="17" applyNumberFormat="1" applyFont="1" applyFill="1" applyBorder="1" applyAlignment="1" applyProtection="1">
      <alignment/>
      <protection/>
    </xf>
    <xf numFmtId="44" fontId="17" fillId="3" borderId="41" xfId="17" applyFont="1" applyFill="1" applyBorder="1" applyAlignment="1" applyProtection="1">
      <alignment/>
      <protection/>
    </xf>
    <xf numFmtId="0" fontId="17" fillId="0" borderId="42" xfId="0" applyFont="1" applyBorder="1" applyAlignment="1" applyProtection="1">
      <alignment/>
      <protection/>
    </xf>
    <xf numFmtId="0" fontId="17" fillId="0" borderId="43" xfId="0" applyFont="1" applyBorder="1" applyAlignment="1" applyProtection="1">
      <alignment/>
      <protection/>
    </xf>
    <xf numFmtId="0" fontId="17" fillId="0" borderId="44" xfId="0" applyFont="1" applyBorder="1" applyAlignment="1" applyProtection="1">
      <alignment/>
      <protection/>
    </xf>
    <xf numFmtId="0" fontId="5" fillId="0" borderId="45" xfId="0" applyFont="1" applyFill="1" applyBorder="1" applyAlignment="1" applyProtection="1">
      <alignment/>
      <protection/>
    </xf>
    <xf numFmtId="0" fontId="11" fillId="0" borderId="46" xfId="0" applyFont="1" applyFill="1" applyBorder="1" applyAlignment="1" applyProtection="1">
      <alignment/>
      <protection/>
    </xf>
    <xf numFmtId="0" fontId="5" fillId="0" borderId="47" xfId="0" applyFont="1" applyFill="1" applyBorder="1" applyAlignment="1" applyProtection="1">
      <alignment/>
      <protection/>
    </xf>
    <xf numFmtId="0" fontId="5" fillId="0" borderId="48" xfId="0" applyFont="1" applyFill="1" applyBorder="1" applyAlignment="1" applyProtection="1">
      <alignment/>
      <protection/>
    </xf>
    <xf numFmtId="0" fontId="5" fillId="0" borderId="49" xfId="0" applyFont="1" applyFill="1" applyBorder="1" applyAlignment="1" applyProtection="1">
      <alignment/>
      <protection/>
    </xf>
    <xf numFmtId="0" fontId="13" fillId="0" borderId="49" xfId="0" applyFont="1" applyFill="1" applyBorder="1" applyAlignment="1" applyProtection="1">
      <alignment/>
      <protection/>
    </xf>
    <xf numFmtId="0" fontId="5" fillId="0" borderId="46" xfId="0" applyFont="1" applyFill="1" applyBorder="1" applyAlignment="1" applyProtection="1">
      <alignment/>
      <protection/>
    </xf>
    <xf numFmtId="0" fontId="5" fillId="0" borderId="5" xfId="0" applyFont="1" applyFill="1" applyBorder="1" applyAlignment="1" applyProtection="1">
      <alignment/>
      <protection/>
    </xf>
    <xf numFmtId="9" fontId="5" fillId="3" borderId="26" xfId="21" applyFont="1" applyFill="1" applyBorder="1" applyAlignment="1" applyProtection="1">
      <alignment horizontal="center"/>
      <protection/>
    </xf>
    <xf numFmtId="9" fontId="5" fillId="3" borderId="21" xfId="21" applyFont="1" applyFill="1" applyBorder="1" applyAlignment="1" applyProtection="1">
      <alignment horizontal="center"/>
      <protection/>
    </xf>
    <xf numFmtId="167" fontId="17" fillId="3" borderId="30" xfId="15" applyNumberFormat="1" applyFont="1" applyFill="1" applyBorder="1" applyAlignment="1" applyProtection="1">
      <alignment horizontal="right"/>
      <protection/>
    </xf>
    <xf numFmtId="43" fontId="17" fillId="3" borderId="30" xfId="15" applyFont="1" applyFill="1" applyBorder="1" applyAlignment="1" applyProtection="1">
      <alignment horizontal="right"/>
      <protection/>
    </xf>
    <xf numFmtId="167" fontId="17" fillId="0" borderId="6" xfId="0" applyNumberFormat="1" applyFont="1" applyBorder="1" applyAlignment="1" applyProtection="1">
      <alignment/>
      <protection/>
    </xf>
    <xf numFmtId="0" fontId="11" fillId="0" borderId="50" xfId="0" applyFont="1" applyFill="1" applyBorder="1" applyAlignment="1" applyProtection="1">
      <alignment/>
      <protection/>
    </xf>
    <xf numFmtId="0" fontId="11" fillId="0" borderId="51" xfId="0" applyFont="1" applyFill="1" applyBorder="1" applyAlignment="1" applyProtection="1">
      <alignment/>
      <protection/>
    </xf>
    <xf numFmtId="0" fontId="11" fillId="0" borderId="52" xfId="0" applyFont="1" applyFill="1" applyBorder="1" applyAlignment="1" applyProtection="1">
      <alignment/>
      <protection/>
    </xf>
    <xf numFmtId="0" fontId="5" fillId="0" borderId="53" xfId="0" applyFont="1" applyFill="1" applyBorder="1" applyAlignment="1" applyProtection="1">
      <alignment horizontal="center"/>
      <protection/>
    </xf>
    <xf numFmtId="0" fontId="11" fillId="0" borderId="53" xfId="0" applyFont="1" applyFill="1" applyBorder="1" applyAlignment="1" applyProtection="1">
      <alignment/>
      <protection/>
    </xf>
    <xf numFmtId="0" fontId="11" fillId="0" borderId="54" xfId="0" applyFont="1" applyFill="1" applyBorder="1" applyAlignment="1" applyProtection="1">
      <alignment/>
      <protection/>
    </xf>
    <xf numFmtId="0" fontId="5" fillId="0" borderId="55" xfId="0" applyFont="1" applyFill="1" applyBorder="1" applyAlignment="1" applyProtection="1">
      <alignment/>
      <protection/>
    </xf>
    <xf numFmtId="9" fontId="16" fillId="3" borderId="26" xfId="21" applyFont="1" applyFill="1" applyBorder="1" applyAlignment="1" applyProtection="1">
      <alignment horizontal="center"/>
      <protection/>
    </xf>
    <xf numFmtId="9" fontId="16" fillId="3" borderId="21" xfId="21" applyFont="1" applyFill="1" applyBorder="1" applyAlignment="1" applyProtection="1">
      <alignment horizontal="center"/>
      <protection/>
    </xf>
    <xf numFmtId="165" fontId="17" fillId="3" borderId="38" xfId="21" applyNumberFormat="1" applyFont="1" applyFill="1" applyBorder="1" applyAlignment="1" applyProtection="1">
      <alignment horizontal="right"/>
      <protection/>
    </xf>
    <xf numFmtId="165" fontId="25" fillId="3" borderId="30" xfId="21" applyNumberFormat="1" applyFont="1" applyFill="1" applyBorder="1" applyAlignment="1" applyProtection="1">
      <alignment horizontal="right"/>
      <protection/>
    </xf>
    <xf numFmtId="165" fontId="17" fillId="3" borderId="30" xfId="21" applyNumberFormat="1" applyFont="1" applyFill="1" applyBorder="1" applyAlignment="1" applyProtection="1">
      <alignment horizontal="right"/>
      <protection/>
    </xf>
    <xf numFmtId="165" fontId="17" fillId="3" borderId="31" xfId="21" applyNumberFormat="1" applyFont="1" applyFill="1" applyBorder="1" applyAlignment="1" applyProtection="1">
      <alignment horizontal="center"/>
      <protection/>
    </xf>
    <xf numFmtId="0" fontId="11" fillId="0" borderId="25" xfId="0" applyFont="1" applyFill="1" applyBorder="1" applyAlignment="1" applyProtection="1">
      <alignment/>
      <protection/>
    </xf>
    <xf numFmtId="0" fontId="12" fillId="7" borderId="56" xfId="0" applyFont="1" applyFill="1" applyBorder="1" applyAlignment="1" applyProtection="1">
      <alignment horizontal="center"/>
      <protection locked="0"/>
    </xf>
    <xf numFmtId="0" fontId="14" fillId="0" borderId="52" xfId="0" applyFont="1" applyFill="1" applyBorder="1" applyAlignment="1" applyProtection="1">
      <alignment/>
      <protection/>
    </xf>
    <xf numFmtId="165" fontId="24" fillId="7" borderId="30" xfId="21" applyNumberFormat="1" applyFont="1" applyFill="1" applyBorder="1" applyAlignment="1" applyProtection="1">
      <alignment horizontal="right"/>
      <protection locked="0"/>
    </xf>
    <xf numFmtId="0" fontId="24" fillId="7" borderId="57" xfId="0" applyFont="1" applyFill="1" applyBorder="1" applyAlignment="1" applyProtection="1">
      <alignment horizontal="center"/>
      <protection locked="0"/>
    </xf>
    <xf numFmtId="0" fontId="24" fillId="7" borderId="58" xfId="0" applyFont="1" applyFill="1" applyBorder="1" applyAlignment="1" applyProtection="1">
      <alignment horizontal="center"/>
      <protection locked="0"/>
    </xf>
    <xf numFmtId="9" fontId="24" fillId="0" borderId="14" xfId="21" applyFont="1" applyBorder="1" applyAlignment="1" applyProtection="1">
      <alignment/>
      <protection locked="0"/>
    </xf>
    <xf numFmtId="164" fontId="24" fillId="7" borderId="23" xfId="17" applyNumberFormat="1" applyFont="1" applyFill="1" applyBorder="1" applyAlignment="1" applyProtection="1">
      <alignment/>
      <protection locked="0"/>
    </xf>
    <xf numFmtId="164" fontId="24" fillId="7" borderId="14" xfId="17" applyNumberFormat="1" applyFont="1" applyFill="1" applyBorder="1" applyAlignment="1" applyProtection="1">
      <alignment/>
      <protection locked="0"/>
    </xf>
    <xf numFmtId="164" fontId="24" fillId="7" borderId="24" xfId="17" applyNumberFormat="1" applyFont="1" applyFill="1" applyBorder="1" applyAlignment="1" applyProtection="1">
      <alignment/>
      <protection locked="0"/>
    </xf>
    <xf numFmtId="164" fontId="12" fillId="7" borderId="14" xfId="17" applyNumberFormat="1" applyFont="1" applyFill="1" applyBorder="1" applyAlignment="1" applyProtection="1">
      <alignment/>
      <protection locked="0"/>
    </xf>
    <xf numFmtId="0" fontId="5" fillId="2" borderId="46" xfId="0" applyFont="1" applyFill="1" applyBorder="1" applyAlignment="1" applyProtection="1">
      <alignment/>
      <protection/>
    </xf>
    <xf numFmtId="164" fontId="5" fillId="2" borderId="28" xfId="17" applyNumberFormat="1" applyFont="1" applyFill="1" applyBorder="1" applyAlignment="1" applyProtection="1">
      <alignment/>
      <protection/>
    </xf>
    <xf numFmtId="164" fontId="17" fillId="3" borderId="37" xfId="0" applyNumberFormat="1" applyFont="1" applyFill="1" applyBorder="1" applyAlignment="1" applyProtection="1">
      <alignment/>
      <protection/>
    </xf>
    <xf numFmtId="0" fontId="17" fillId="3" borderId="37" xfId="0" applyFont="1" applyFill="1" applyBorder="1" applyAlignment="1" applyProtection="1">
      <alignment/>
      <protection/>
    </xf>
    <xf numFmtId="164" fontId="17" fillId="4" borderId="37" xfId="0" applyNumberFormat="1" applyFont="1" applyFill="1" applyBorder="1" applyAlignment="1" applyProtection="1">
      <alignment/>
      <protection/>
    </xf>
    <xf numFmtId="0" fontId="18" fillId="4" borderId="37" xfId="0" applyFont="1" applyFill="1" applyBorder="1" applyAlignment="1" applyProtection="1">
      <alignment/>
      <protection/>
    </xf>
    <xf numFmtId="164" fontId="22" fillId="5" borderId="41" xfId="17" applyNumberFormat="1" applyFont="1" applyFill="1" applyBorder="1" applyAlignment="1" applyProtection="1">
      <alignment/>
      <protection/>
    </xf>
    <xf numFmtId="0" fontId="11" fillId="0" borderId="59" xfId="0" applyFont="1" applyBorder="1" applyAlignment="1" applyProtection="1">
      <alignment horizontal="center"/>
      <protection/>
    </xf>
    <xf numFmtId="164" fontId="16" fillId="0" borderId="56" xfId="17" applyNumberFormat="1" applyFont="1" applyBorder="1" applyAlignment="1" applyProtection="1">
      <alignment/>
      <protection/>
    </xf>
    <xf numFmtId="0" fontId="11" fillId="0" borderId="46" xfId="0" applyFont="1" applyBorder="1" applyAlignment="1" applyProtection="1">
      <alignment horizontal="center"/>
      <protection/>
    </xf>
    <xf numFmtId="164" fontId="24" fillId="7" borderId="37" xfId="17" applyNumberFormat="1" applyFont="1" applyFill="1" applyBorder="1" applyAlignment="1" applyProtection="1">
      <alignment/>
      <protection locked="0"/>
    </xf>
    <xf numFmtId="9" fontId="24" fillId="0" borderId="37" xfId="21" applyFont="1" applyBorder="1" applyAlignment="1" applyProtection="1">
      <alignment/>
      <protection locked="0"/>
    </xf>
    <xf numFmtId="9" fontId="18" fillId="4" borderId="37" xfId="21" applyFont="1" applyFill="1" applyBorder="1" applyAlignment="1" applyProtection="1">
      <alignment/>
      <protection/>
    </xf>
    <xf numFmtId="164" fontId="24" fillId="7" borderId="28" xfId="17" applyNumberFormat="1" applyFont="1" applyFill="1" applyBorder="1" applyAlignment="1" applyProtection="1">
      <alignment/>
      <protection locked="0"/>
    </xf>
    <xf numFmtId="164" fontId="16" fillId="0" borderId="54" xfId="17" applyNumberFormat="1" applyFont="1" applyBorder="1" applyAlignment="1" applyProtection="1">
      <alignment/>
      <protection/>
    </xf>
    <xf numFmtId="0" fontId="0" fillId="0" borderId="0" xfId="0" applyAlignment="1">
      <alignment/>
    </xf>
    <xf numFmtId="164" fontId="12" fillId="7" borderId="60" xfId="17" applyNumberFormat="1" applyFont="1" applyFill="1" applyBorder="1" applyAlignment="1" applyProtection="1">
      <alignment/>
      <protection locked="0"/>
    </xf>
    <xf numFmtId="0" fontId="5" fillId="4" borderId="2" xfId="0" applyFont="1" applyFill="1" applyBorder="1" applyAlignment="1" applyProtection="1">
      <alignment horizontal="center"/>
      <protection/>
    </xf>
    <xf numFmtId="0" fontId="27" fillId="0" borderId="0" xfId="0" applyFont="1" applyAlignment="1">
      <alignment/>
    </xf>
    <xf numFmtId="0" fontId="26" fillId="0" borderId="0" xfId="0" applyFont="1" applyAlignment="1" applyProtection="1">
      <alignment/>
      <protection/>
    </xf>
    <xf numFmtId="9" fontId="21" fillId="8" borderId="23" xfId="21" applyFont="1" applyFill="1" applyBorder="1" applyAlignment="1" applyProtection="1">
      <alignment/>
      <protection/>
    </xf>
    <xf numFmtId="9" fontId="21" fillId="8" borderId="37" xfId="21" applyFont="1" applyFill="1" applyBorder="1" applyAlignment="1" applyProtection="1">
      <alignment/>
      <protection/>
    </xf>
    <xf numFmtId="0" fontId="5" fillId="8" borderId="2" xfId="0" applyFont="1" applyFill="1" applyBorder="1" applyAlignment="1" applyProtection="1">
      <alignment horizontal="center"/>
      <protection/>
    </xf>
    <xf numFmtId="0" fontId="9" fillId="8" borderId="2" xfId="0" applyFont="1" applyFill="1" applyBorder="1" applyAlignment="1" applyProtection="1">
      <alignment horizontal="center"/>
      <protection/>
    </xf>
    <xf numFmtId="0" fontId="5" fillId="9" borderId="2" xfId="0" applyFont="1" applyFill="1" applyBorder="1" applyAlignment="1" applyProtection="1">
      <alignment horizontal="center"/>
      <protection/>
    </xf>
    <xf numFmtId="0" fontId="8" fillId="9" borderId="2" xfId="0" applyFont="1" applyFill="1" applyBorder="1" applyAlignment="1" applyProtection="1">
      <alignment horizontal="center"/>
      <protection/>
    </xf>
    <xf numFmtId="9" fontId="20" fillId="9" borderId="23" xfId="21" applyFont="1" applyFill="1" applyBorder="1" applyAlignment="1" applyProtection="1">
      <alignment/>
      <protection/>
    </xf>
    <xf numFmtId="9" fontId="20" fillId="9" borderId="37" xfId="21" applyFont="1" applyFill="1" applyBorder="1" applyAlignment="1" applyProtection="1">
      <alignment/>
      <protection/>
    </xf>
    <xf numFmtId="164" fontId="17" fillId="9" borderId="37" xfId="17" applyNumberFormat="1" applyFont="1" applyFill="1" applyBorder="1" applyAlignment="1" applyProtection="1">
      <alignment/>
      <protection/>
    </xf>
    <xf numFmtId="0" fontId="20" fillId="9" borderId="37" xfId="0" applyFont="1" applyFill="1" applyBorder="1" applyAlignment="1" applyProtection="1">
      <alignment/>
      <protection/>
    </xf>
    <xf numFmtId="164" fontId="17" fillId="8" borderId="37" xfId="17" applyNumberFormat="1" applyFont="1" applyFill="1" applyBorder="1" applyAlignment="1" applyProtection="1">
      <alignment/>
      <protection/>
    </xf>
    <xf numFmtId="0" fontId="21" fillId="8" borderId="36" xfId="0" applyFont="1" applyFill="1" applyBorder="1" applyAlignment="1" applyProtection="1">
      <alignment/>
      <protection/>
    </xf>
    <xf numFmtId="0" fontId="23" fillId="9" borderId="26" xfId="0" applyFont="1" applyFill="1" applyBorder="1" applyAlignment="1" applyProtection="1">
      <alignment horizontal="left"/>
      <protection/>
    </xf>
    <xf numFmtId="164" fontId="17" fillId="9" borderId="35" xfId="17" applyNumberFormat="1" applyFont="1" applyFill="1" applyBorder="1" applyAlignment="1" applyProtection="1">
      <alignment horizontal="center"/>
      <protection/>
    </xf>
    <xf numFmtId="0" fontId="23" fillId="9" borderId="27" xfId="0" applyFont="1" applyFill="1" applyBorder="1" applyAlignment="1" applyProtection="1">
      <alignment horizontal="left"/>
      <protection/>
    </xf>
    <xf numFmtId="164" fontId="17" fillId="9" borderId="36" xfId="17" applyNumberFormat="1" applyFont="1" applyFill="1" applyBorder="1" applyAlignment="1" applyProtection="1">
      <alignment horizontal="center"/>
      <protection/>
    </xf>
    <xf numFmtId="0" fontId="23" fillId="9" borderId="28" xfId="0" applyFont="1" applyFill="1" applyBorder="1" applyAlignment="1" applyProtection="1">
      <alignment horizontal="left"/>
      <protection/>
    </xf>
    <xf numFmtId="9" fontId="16" fillId="9" borderId="7" xfId="21" applyFont="1" applyFill="1" applyBorder="1" applyAlignment="1" applyProtection="1">
      <alignment horizontal="center"/>
      <protection/>
    </xf>
    <xf numFmtId="0" fontId="16" fillId="9" borderId="7" xfId="0" applyFont="1" applyFill="1" applyBorder="1" applyAlignment="1" applyProtection="1">
      <alignment horizontal="center"/>
      <protection/>
    </xf>
    <xf numFmtId="9" fontId="16" fillId="9" borderId="8" xfId="21" applyFont="1" applyFill="1" applyBorder="1" applyAlignment="1" applyProtection="1">
      <alignment horizontal="center"/>
      <protection/>
    </xf>
    <xf numFmtId="0" fontId="16" fillId="9" borderId="8" xfId="0" applyFont="1" applyFill="1" applyBorder="1" applyAlignment="1" applyProtection="1">
      <alignment horizontal="center"/>
      <protection/>
    </xf>
    <xf numFmtId="9" fontId="5" fillId="9" borderId="7" xfId="21" applyFont="1" applyFill="1" applyBorder="1" applyAlignment="1" applyProtection="1">
      <alignment horizontal="center"/>
      <protection/>
    </xf>
    <xf numFmtId="0" fontId="5" fillId="9" borderId="7" xfId="0" applyFont="1" applyFill="1" applyBorder="1" applyAlignment="1" applyProtection="1">
      <alignment horizontal="center"/>
      <protection/>
    </xf>
    <xf numFmtId="9" fontId="5" fillId="9" borderId="8" xfId="21" applyFont="1" applyFill="1" applyBorder="1" applyAlignment="1" applyProtection="1">
      <alignment horizontal="center"/>
      <protection/>
    </xf>
    <xf numFmtId="0" fontId="5" fillId="9" borderId="8" xfId="0" applyFont="1" applyFill="1" applyBorder="1" applyAlignment="1" applyProtection="1">
      <alignment horizontal="center"/>
      <protection/>
    </xf>
    <xf numFmtId="164" fontId="17" fillId="8" borderId="35" xfId="17" applyNumberFormat="1" applyFont="1" applyFill="1" applyBorder="1" applyAlignment="1" applyProtection="1">
      <alignment/>
      <protection/>
    </xf>
    <xf numFmtId="164" fontId="17" fillId="8" borderId="36" xfId="17" applyNumberFormat="1" applyFont="1" applyFill="1" applyBorder="1" applyAlignment="1" applyProtection="1">
      <alignment/>
      <protection/>
    </xf>
    <xf numFmtId="9" fontId="16" fillId="8" borderId="7" xfId="21" applyFont="1" applyFill="1" applyBorder="1" applyAlignment="1" applyProtection="1">
      <alignment horizontal="center"/>
      <protection/>
    </xf>
    <xf numFmtId="9" fontId="16" fillId="8" borderId="8" xfId="21" applyFont="1" applyFill="1" applyBorder="1" applyAlignment="1" applyProtection="1">
      <alignment horizontal="center"/>
      <protection/>
    </xf>
    <xf numFmtId="9" fontId="5" fillId="8" borderId="7" xfId="21" applyFont="1" applyFill="1" applyBorder="1" applyAlignment="1" applyProtection="1">
      <alignment horizontal="center"/>
      <protection/>
    </xf>
    <xf numFmtId="0" fontId="5" fillId="8" borderId="50" xfId="0" applyFont="1" applyFill="1" applyBorder="1" applyAlignment="1" applyProtection="1">
      <alignment horizontal="center"/>
      <protection/>
    </xf>
    <xf numFmtId="9" fontId="5" fillId="8" borderId="8" xfId="21" applyFont="1" applyFill="1" applyBorder="1" applyAlignment="1" applyProtection="1">
      <alignment horizontal="center"/>
      <protection/>
    </xf>
    <xf numFmtId="0" fontId="5" fillId="8" borderId="51" xfId="0" applyFont="1" applyFill="1" applyBorder="1" applyAlignment="1" applyProtection="1">
      <alignment horizontal="center"/>
      <protection/>
    </xf>
    <xf numFmtId="0" fontId="5" fillId="8" borderId="12" xfId="0" applyFont="1" applyFill="1" applyBorder="1" applyAlignment="1" applyProtection="1">
      <alignment/>
      <protection/>
    </xf>
    <xf numFmtId="0" fontId="5" fillId="8" borderId="13" xfId="0" applyFont="1" applyFill="1" applyBorder="1" applyAlignment="1" applyProtection="1">
      <alignment/>
      <protection/>
    </xf>
    <xf numFmtId="165" fontId="5" fillId="8" borderId="14" xfId="21" applyNumberFormat="1" applyFont="1" applyFill="1" applyBorder="1" applyAlignment="1" applyProtection="1">
      <alignment horizontal="center"/>
      <protection/>
    </xf>
    <xf numFmtId="0" fontId="5" fillId="9" borderId="12" xfId="0" applyFont="1" applyFill="1" applyBorder="1" applyAlignment="1" applyProtection="1">
      <alignment/>
      <protection/>
    </xf>
    <xf numFmtId="0" fontId="5" fillId="9" borderId="13" xfId="0" applyFont="1" applyFill="1" applyBorder="1" applyAlignment="1" applyProtection="1">
      <alignment/>
      <protection/>
    </xf>
    <xf numFmtId="165" fontId="5" fillId="9" borderId="14" xfId="21" applyNumberFormat="1" applyFont="1" applyFill="1" applyBorder="1" applyAlignment="1" applyProtection="1">
      <alignment horizontal="center"/>
      <protection/>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wrapText="1"/>
    </xf>
    <xf numFmtId="0" fontId="4" fillId="0" borderId="4" xfId="0" applyFont="1" applyFill="1" applyBorder="1" applyAlignment="1" applyProtection="1">
      <alignment/>
      <protection/>
    </xf>
    <xf numFmtId="0" fontId="4" fillId="0" borderId="45" xfId="0" applyFont="1" applyFill="1" applyBorder="1" applyAlignment="1" applyProtection="1">
      <alignment/>
      <protection/>
    </xf>
    <xf numFmtId="0" fontId="17" fillId="0" borderId="0" xfId="0" applyFont="1" applyFill="1" applyAlignment="1" applyProtection="1">
      <alignment/>
      <protection/>
    </xf>
    <xf numFmtId="0" fontId="23" fillId="10" borderId="26" xfId="0" applyFont="1" applyFill="1" applyBorder="1" applyAlignment="1" applyProtection="1">
      <alignment/>
      <protection/>
    </xf>
    <xf numFmtId="164" fontId="17" fillId="10" borderId="30" xfId="17" applyNumberFormat="1" applyFont="1" applyFill="1" applyBorder="1" applyAlignment="1" applyProtection="1">
      <alignment/>
      <protection/>
    </xf>
    <xf numFmtId="0" fontId="23" fillId="10" borderId="27" xfId="0" applyFont="1" applyFill="1" applyBorder="1" applyAlignment="1" applyProtection="1">
      <alignment/>
      <protection/>
    </xf>
    <xf numFmtId="164" fontId="17" fillId="10" borderId="31" xfId="17" applyNumberFormat="1" applyFont="1" applyFill="1" applyBorder="1" applyAlignment="1" applyProtection="1">
      <alignment/>
      <protection/>
    </xf>
    <xf numFmtId="0" fontId="23" fillId="10" borderId="28" xfId="0" applyFont="1" applyFill="1" applyBorder="1" applyAlignment="1" applyProtection="1">
      <alignment/>
      <protection/>
    </xf>
    <xf numFmtId="9" fontId="16" fillId="10" borderId="7" xfId="21" applyFont="1" applyFill="1" applyBorder="1" applyAlignment="1" applyProtection="1">
      <alignment horizontal="center"/>
      <protection/>
    </xf>
    <xf numFmtId="0" fontId="16" fillId="10" borderId="7" xfId="0" applyFont="1" applyFill="1" applyBorder="1" applyAlignment="1" applyProtection="1">
      <alignment horizontal="center"/>
      <protection/>
    </xf>
    <xf numFmtId="9" fontId="16" fillId="10" borderId="8" xfId="21" applyFont="1" applyFill="1" applyBorder="1" applyAlignment="1" applyProtection="1">
      <alignment horizontal="center"/>
      <protection/>
    </xf>
    <xf numFmtId="0" fontId="16" fillId="10" borderId="8" xfId="0" applyFont="1" applyFill="1" applyBorder="1" applyAlignment="1" applyProtection="1">
      <alignment horizontal="center"/>
      <protection/>
    </xf>
    <xf numFmtId="9" fontId="5" fillId="10" borderId="7" xfId="21" applyFont="1" applyFill="1" applyBorder="1" applyAlignment="1" applyProtection="1">
      <alignment horizontal="center"/>
      <protection/>
    </xf>
    <xf numFmtId="0" fontId="5" fillId="10" borderId="7" xfId="0" applyFont="1" applyFill="1" applyBorder="1" applyAlignment="1" applyProtection="1">
      <alignment horizontal="center"/>
      <protection/>
    </xf>
    <xf numFmtId="9" fontId="5" fillId="10" borderId="8" xfId="21" applyFont="1" applyFill="1" applyBorder="1" applyAlignment="1" applyProtection="1">
      <alignment horizontal="center"/>
      <protection/>
    </xf>
    <xf numFmtId="0" fontId="5" fillId="10" borderId="8" xfId="0" applyFont="1" applyFill="1" applyBorder="1" applyAlignment="1" applyProtection="1">
      <alignment horizontal="center"/>
      <protection/>
    </xf>
    <xf numFmtId="0" fontId="5" fillId="10" borderId="12" xfId="0" applyFont="1" applyFill="1" applyBorder="1" applyAlignment="1" applyProtection="1">
      <alignment/>
      <protection/>
    </xf>
    <xf numFmtId="0" fontId="5" fillId="10" borderId="13" xfId="0" applyFont="1" applyFill="1" applyBorder="1" applyAlignment="1" applyProtection="1">
      <alignment/>
      <protection/>
    </xf>
    <xf numFmtId="165" fontId="5" fillId="10" borderId="14" xfId="21" applyNumberFormat="1" applyFont="1" applyFill="1" applyBorder="1" applyAlignment="1" applyProtection="1">
      <alignment horizontal="center"/>
      <protection/>
    </xf>
    <xf numFmtId="165" fontId="12" fillId="10" borderId="14" xfId="21" applyNumberFormat="1" applyFont="1" applyFill="1" applyBorder="1" applyAlignment="1" applyProtection="1">
      <alignment horizontal="center"/>
      <protection/>
    </xf>
    <xf numFmtId="0" fontId="5" fillId="10" borderId="61" xfId="0" applyFont="1" applyFill="1" applyBorder="1" applyAlignment="1" applyProtection="1">
      <alignment horizontal="center"/>
      <protection/>
    </xf>
    <xf numFmtId="0" fontId="7" fillId="10" borderId="2" xfId="0" applyFont="1" applyFill="1" applyBorder="1" applyAlignment="1" applyProtection="1">
      <alignment horizontal="center"/>
      <protection/>
    </xf>
    <xf numFmtId="9" fontId="19" fillId="10" borderId="23" xfId="21" applyFont="1" applyFill="1" applyBorder="1" applyAlignment="1" applyProtection="1">
      <alignment/>
      <protection/>
    </xf>
    <xf numFmtId="9" fontId="19" fillId="10" borderId="37" xfId="21" applyFont="1" applyFill="1" applyBorder="1" applyAlignment="1" applyProtection="1">
      <alignment/>
      <protection/>
    </xf>
    <xf numFmtId="164" fontId="17" fillId="10" borderId="28" xfId="17" applyNumberFormat="1" applyFont="1" applyFill="1" applyBorder="1" applyAlignment="1" applyProtection="1">
      <alignment/>
      <protection/>
    </xf>
    <xf numFmtId="0" fontId="19" fillId="10" borderId="37" xfId="0" applyFont="1" applyFill="1" applyBorder="1" applyAlignment="1" applyProtection="1">
      <alignment/>
      <protection/>
    </xf>
    <xf numFmtId="0" fontId="2" fillId="0" borderId="45" xfId="0" applyFont="1" applyBorder="1" applyAlignment="1" applyProtection="1">
      <alignment/>
      <protection/>
    </xf>
    <xf numFmtId="0" fontId="4" fillId="0" borderId="57" xfId="0" applyFont="1" applyBorder="1" applyAlignment="1" applyProtection="1">
      <alignment/>
      <protection/>
    </xf>
    <xf numFmtId="0" fontId="4" fillId="0" borderId="57" xfId="0" applyFont="1" applyBorder="1" applyAlignment="1" applyProtection="1">
      <alignment horizontal="left"/>
      <protection/>
    </xf>
    <xf numFmtId="0" fontId="4" fillId="0" borderId="57" xfId="0" applyFont="1" applyBorder="1" applyAlignment="1" applyProtection="1">
      <alignment horizontal="center"/>
      <protection/>
    </xf>
    <xf numFmtId="0" fontId="4" fillId="0" borderId="50" xfId="0" applyFont="1" applyBorder="1" applyAlignment="1" applyProtection="1">
      <alignment/>
      <protection/>
    </xf>
    <xf numFmtId="9" fontId="5" fillId="4" borderId="56" xfId="21" applyFont="1" applyFill="1" applyBorder="1" applyAlignment="1" applyProtection="1">
      <alignment horizontal="center"/>
      <protection/>
    </xf>
    <xf numFmtId="0" fontId="5" fillId="0" borderId="62" xfId="0" applyFont="1" applyBorder="1" applyAlignment="1" applyProtection="1">
      <alignment horizontal="center"/>
      <protection/>
    </xf>
    <xf numFmtId="0" fontId="5" fillId="0" borderId="51" xfId="0" applyFont="1" applyBorder="1" applyAlignment="1" applyProtection="1">
      <alignment horizontal="center"/>
      <protection/>
    </xf>
    <xf numFmtId="0" fontId="5" fillId="4" borderId="63" xfId="0" applyFont="1" applyFill="1" applyBorder="1" applyAlignment="1" applyProtection="1">
      <alignment horizontal="center"/>
      <protection/>
    </xf>
    <xf numFmtId="165" fontId="11" fillId="0" borderId="62" xfId="21" applyNumberFormat="1" applyFont="1" applyBorder="1" applyAlignment="1" applyProtection="1">
      <alignment horizontal="center"/>
      <protection/>
    </xf>
    <xf numFmtId="0" fontId="5" fillId="4" borderId="64" xfId="0" applyFont="1" applyFill="1" applyBorder="1" applyAlignment="1" applyProtection="1">
      <alignment horizontal="center"/>
      <protection/>
    </xf>
    <xf numFmtId="165" fontId="11" fillId="0" borderId="25" xfId="21" applyNumberFormat="1" applyFont="1" applyBorder="1" applyAlignment="1" applyProtection="1">
      <alignment horizontal="center"/>
      <protection/>
    </xf>
    <xf numFmtId="165" fontId="11" fillId="0" borderId="25" xfId="21" applyNumberFormat="1" applyFont="1" applyFill="1" applyBorder="1" applyAlignment="1" applyProtection="1">
      <alignment horizontal="center"/>
      <protection/>
    </xf>
    <xf numFmtId="0" fontId="5" fillId="4" borderId="65" xfId="0" applyFont="1" applyFill="1" applyBorder="1" applyAlignment="1" applyProtection="1">
      <alignment horizontal="center"/>
      <protection/>
    </xf>
    <xf numFmtId="164" fontId="11" fillId="0" borderId="36" xfId="17" applyNumberFormat="1" applyFont="1" applyFill="1" applyBorder="1" applyAlignment="1" applyProtection="1">
      <alignment/>
      <protection/>
    </xf>
    <xf numFmtId="164" fontId="11" fillId="0" borderId="37" xfId="17" applyNumberFormat="1" applyFont="1" applyFill="1" applyBorder="1" applyAlignment="1" applyProtection="1">
      <alignment/>
      <protection/>
    </xf>
    <xf numFmtId="165" fontId="11" fillId="0" borderId="31" xfId="21" applyNumberFormat="1" applyFont="1" applyFill="1" applyBorder="1" applyAlignment="1" applyProtection="1">
      <alignment horizontal="center"/>
      <protection/>
    </xf>
    <xf numFmtId="165" fontId="11" fillId="0" borderId="37" xfId="21" applyNumberFormat="1" applyFont="1" applyFill="1" applyBorder="1" applyAlignment="1" applyProtection="1">
      <alignment horizontal="center"/>
      <protection/>
    </xf>
    <xf numFmtId="165" fontId="11" fillId="3" borderId="37" xfId="21" applyNumberFormat="1" applyFont="1" applyFill="1" applyBorder="1" applyAlignment="1" applyProtection="1">
      <alignment horizontal="center"/>
      <protection/>
    </xf>
    <xf numFmtId="165" fontId="11" fillId="0" borderId="28" xfId="0" applyNumberFormat="1" applyFont="1" applyFill="1" applyBorder="1" applyAlignment="1" applyProtection="1">
      <alignment horizontal="center"/>
      <protection/>
    </xf>
    <xf numFmtId="165" fontId="11" fillId="0" borderId="54" xfId="21" applyNumberFormat="1" applyFont="1" applyFill="1" applyBorder="1" applyAlignment="1" applyProtection="1">
      <alignment horizontal="center"/>
      <protection/>
    </xf>
    <xf numFmtId="165" fontId="5" fillId="10" borderId="56" xfId="21" applyNumberFormat="1" applyFont="1" applyFill="1" applyBorder="1" applyAlignment="1" applyProtection="1">
      <alignment horizontal="center"/>
      <protection/>
    </xf>
    <xf numFmtId="0" fontId="5" fillId="10" borderId="63" xfId="0" applyFont="1" applyFill="1" applyBorder="1" applyAlignment="1" applyProtection="1">
      <alignment horizontal="center"/>
      <protection/>
    </xf>
    <xf numFmtId="0" fontId="5" fillId="10" borderId="64" xfId="0" applyFont="1" applyFill="1" applyBorder="1" applyAlignment="1" applyProtection="1">
      <alignment horizontal="center"/>
      <protection/>
    </xf>
    <xf numFmtId="0" fontId="5" fillId="10" borderId="65" xfId="0" applyFont="1" applyFill="1" applyBorder="1" applyAlignment="1" applyProtection="1">
      <alignment horizontal="center"/>
      <protection/>
    </xf>
    <xf numFmtId="165" fontId="5" fillId="9" borderId="56" xfId="21" applyNumberFormat="1" applyFont="1" applyFill="1" applyBorder="1" applyAlignment="1" applyProtection="1">
      <alignment horizontal="center"/>
      <protection/>
    </xf>
    <xf numFmtId="0" fontId="5" fillId="9" borderId="63" xfId="0" applyFont="1" applyFill="1" applyBorder="1" applyAlignment="1" applyProtection="1">
      <alignment horizontal="center"/>
      <protection/>
    </xf>
    <xf numFmtId="10" fontId="11" fillId="0" borderId="62" xfId="21" applyNumberFormat="1" applyFont="1" applyBorder="1" applyAlignment="1" applyProtection="1">
      <alignment horizontal="center"/>
      <protection/>
    </xf>
    <xf numFmtId="0" fontId="5" fillId="9" borderId="64" xfId="0" applyFont="1" applyFill="1" applyBorder="1" applyAlignment="1" applyProtection="1">
      <alignment horizontal="center"/>
      <protection/>
    </xf>
    <xf numFmtId="0" fontId="5" fillId="9" borderId="65" xfId="0" applyFont="1" applyFill="1" applyBorder="1" applyAlignment="1" applyProtection="1">
      <alignment horizontal="center"/>
      <protection/>
    </xf>
    <xf numFmtId="164" fontId="11" fillId="0" borderId="36" xfId="17" applyNumberFormat="1" applyFont="1" applyBorder="1" applyAlignment="1" applyProtection="1">
      <alignment/>
      <protection/>
    </xf>
    <xf numFmtId="164" fontId="11" fillId="0" borderId="37" xfId="17" applyNumberFormat="1" applyFont="1" applyBorder="1" applyAlignment="1" applyProtection="1">
      <alignment/>
      <protection/>
    </xf>
    <xf numFmtId="165" fontId="11" fillId="0" borderId="31" xfId="21" applyNumberFormat="1" applyFont="1" applyBorder="1" applyAlignment="1" applyProtection="1">
      <alignment horizontal="center"/>
      <protection/>
    </xf>
    <xf numFmtId="165" fontId="11" fillId="0" borderId="37" xfId="21" applyNumberFormat="1" applyFont="1" applyBorder="1" applyAlignment="1" applyProtection="1">
      <alignment horizontal="center"/>
      <protection/>
    </xf>
    <xf numFmtId="165" fontId="11" fillId="0" borderId="28" xfId="0" applyNumberFormat="1" applyFont="1" applyBorder="1" applyAlignment="1" applyProtection="1">
      <alignment horizontal="center"/>
      <protection/>
    </xf>
    <xf numFmtId="165" fontId="11" fillId="0" borderId="54" xfId="21" applyNumberFormat="1" applyFont="1" applyBorder="1" applyAlignment="1" applyProtection="1">
      <alignment horizontal="center"/>
      <protection/>
    </xf>
    <xf numFmtId="165" fontId="5" fillId="8" borderId="56" xfId="21" applyNumberFormat="1" applyFont="1" applyFill="1" applyBorder="1" applyAlignment="1" applyProtection="1">
      <alignment horizontal="center"/>
      <protection/>
    </xf>
    <xf numFmtId="0" fontId="5" fillId="8" borderId="63" xfId="0" applyFont="1" applyFill="1" applyBorder="1" applyAlignment="1" applyProtection="1">
      <alignment horizontal="center"/>
      <protection/>
    </xf>
    <xf numFmtId="0" fontId="5" fillId="8" borderId="64" xfId="0" applyFont="1" applyFill="1" applyBorder="1" applyAlignment="1" applyProtection="1">
      <alignment horizontal="center"/>
      <protection/>
    </xf>
    <xf numFmtId="0" fontId="5" fillId="8" borderId="65" xfId="0" applyFont="1" applyFill="1" applyBorder="1" applyAlignment="1" applyProtection="1">
      <alignment horizontal="center"/>
      <protection/>
    </xf>
    <xf numFmtId="0" fontId="26" fillId="0" borderId="0" xfId="0" applyFont="1" applyFill="1" applyBorder="1" applyAlignment="1">
      <alignment/>
    </xf>
    <xf numFmtId="0" fontId="26" fillId="11" borderId="45" xfId="0" applyFont="1" applyFill="1" applyBorder="1" applyAlignment="1">
      <alignment/>
    </xf>
    <xf numFmtId="0" fontId="0" fillId="11" borderId="57" xfId="0" applyFill="1" applyBorder="1" applyAlignment="1">
      <alignment/>
    </xf>
    <xf numFmtId="0" fontId="0" fillId="11" borderId="50" xfId="0" applyFill="1" applyBorder="1" applyAlignment="1">
      <alignment/>
    </xf>
    <xf numFmtId="0" fontId="0" fillId="11" borderId="4" xfId="0" applyFill="1" applyBorder="1" applyAlignment="1">
      <alignment wrapText="1"/>
    </xf>
    <xf numFmtId="0" fontId="0" fillId="11" borderId="0" xfId="0" applyFill="1" applyBorder="1" applyAlignment="1">
      <alignment wrapText="1"/>
    </xf>
    <xf numFmtId="0" fontId="0" fillId="11" borderId="25" xfId="0" applyFill="1" applyBorder="1" applyAlignment="1">
      <alignment wrapText="1"/>
    </xf>
    <xf numFmtId="0" fontId="0" fillId="11" borderId="4" xfId="0" applyFill="1" applyBorder="1" applyAlignment="1">
      <alignment/>
    </xf>
    <xf numFmtId="0" fontId="0" fillId="11" borderId="0" xfId="0" applyFill="1" applyBorder="1" applyAlignment="1">
      <alignment/>
    </xf>
    <xf numFmtId="0" fontId="0" fillId="11" borderId="25" xfId="0" applyFill="1" applyBorder="1" applyAlignment="1">
      <alignment/>
    </xf>
    <xf numFmtId="0" fontId="26" fillId="11" borderId="4" xfId="0" applyFont="1" applyFill="1" applyBorder="1" applyAlignment="1">
      <alignment/>
    </xf>
    <xf numFmtId="0" fontId="26" fillId="11" borderId="0" xfId="0" applyFont="1" applyFill="1" applyBorder="1" applyAlignment="1">
      <alignment/>
    </xf>
    <xf numFmtId="0" fontId="26" fillId="11" borderId="46" xfId="0" applyFont="1" applyFill="1" applyBorder="1" applyAlignment="1">
      <alignment/>
    </xf>
    <xf numFmtId="0" fontId="0" fillId="11" borderId="31" xfId="0" applyFill="1" applyBorder="1" applyAlignment="1">
      <alignment/>
    </xf>
    <xf numFmtId="0" fontId="0" fillId="11" borderId="54" xfId="0" applyFill="1" applyBorder="1" applyAlignment="1">
      <alignment/>
    </xf>
    <xf numFmtId="0" fontId="26" fillId="11" borderId="0" xfId="0" applyFont="1" applyFill="1" applyBorder="1" applyAlignment="1">
      <alignment/>
    </xf>
    <xf numFmtId="0" fontId="0" fillId="11" borderId="0" xfId="0" applyFill="1" applyBorder="1" applyAlignment="1">
      <alignment/>
    </xf>
    <xf numFmtId="0" fontId="0" fillId="11" borderId="4" xfId="0" applyFill="1" applyBorder="1" applyAlignment="1">
      <alignment/>
    </xf>
    <xf numFmtId="0" fontId="0" fillId="11" borderId="25" xfId="0" applyFill="1" applyBorder="1" applyAlignment="1">
      <alignment/>
    </xf>
    <xf numFmtId="0" fontId="26" fillId="11" borderId="46" xfId="0" applyFont="1" applyFill="1" applyBorder="1" applyAlignment="1">
      <alignment/>
    </xf>
    <xf numFmtId="0" fontId="0" fillId="11" borderId="31" xfId="0" applyFill="1" applyBorder="1" applyAlignment="1">
      <alignment wrapText="1"/>
    </xf>
    <xf numFmtId="0" fontId="0" fillId="11" borderId="54" xfId="0" applyFill="1" applyBorder="1" applyAlignment="1">
      <alignment wrapText="1"/>
    </xf>
    <xf numFmtId="0" fontId="5" fillId="0" borderId="0" xfId="0" applyFont="1" applyFill="1" applyBorder="1" applyAlignment="1" applyProtection="1">
      <alignment/>
      <protection/>
    </xf>
    <xf numFmtId="0" fontId="11" fillId="0" borderId="0" xfId="0" applyFont="1" applyFill="1" applyBorder="1" applyAlignment="1" applyProtection="1">
      <alignment/>
      <protection/>
    </xf>
    <xf numFmtId="165" fontId="17" fillId="0" borderId="0" xfId="21" applyNumberFormat="1" applyFont="1" applyFill="1" applyBorder="1" applyAlignment="1" applyProtection="1">
      <alignment horizontal="center"/>
      <protection/>
    </xf>
    <xf numFmtId="44" fontId="17" fillId="0" borderId="0" xfId="17" applyFont="1" applyFill="1" applyBorder="1" applyAlignment="1" applyProtection="1">
      <alignment horizontal="center"/>
      <protection/>
    </xf>
    <xf numFmtId="44" fontId="17" fillId="0" borderId="0" xfId="17" applyFont="1" applyFill="1" applyBorder="1" applyAlignment="1" applyProtection="1">
      <alignment/>
      <protection/>
    </xf>
    <xf numFmtId="166" fontId="16" fillId="0" borderId="0" xfId="17" applyNumberFormat="1" applyFont="1" applyFill="1" applyBorder="1" applyAlignment="1" applyProtection="1">
      <alignment/>
      <protection/>
    </xf>
    <xf numFmtId="164" fontId="16" fillId="0" borderId="9" xfId="0" applyNumberFormat="1" applyFont="1" applyFill="1" applyBorder="1" applyAlignment="1" applyProtection="1">
      <alignment horizontal="center"/>
      <protection/>
    </xf>
    <xf numFmtId="0" fontId="11" fillId="0" borderId="0" xfId="0" applyFont="1" applyFill="1" applyAlignment="1" applyProtection="1">
      <alignment/>
      <protection/>
    </xf>
    <xf numFmtId="0" fontId="23" fillId="8" borderId="50" xfId="0" applyFont="1" applyFill="1" applyBorder="1" applyAlignment="1" applyProtection="1">
      <alignment/>
      <protection/>
    </xf>
    <xf numFmtId="0" fontId="23" fillId="8" borderId="53" xfId="0" applyFont="1" applyFill="1" applyBorder="1" applyAlignment="1" applyProtection="1">
      <alignment/>
      <protection/>
    </xf>
    <xf numFmtId="0" fontId="23" fillId="8" borderId="54" xfId="0" applyFont="1" applyFill="1" applyBorder="1" applyAlignment="1" applyProtection="1">
      <alignment/>
      <protection/>
    </xf>
    <xf numFmtId="0" fontId="22" fillId="6" borderId="55" xfId="0" applyFont="1" applyFill="1" applyBorder="1" applyAlignment="1" applyProtection="1">
      <alignment/>
      <protection/>
    </xf>
    <xf numFmtId="0" fontId="16" fillId="8" borderId="50" xfId="0" applyFont="1" applyFill="1" applyBorder="1" applyAlignment="1" applyProtection="1">
      <alignment horizontal="center"/>
      <protection/>
    </xf>
    <xf numFmtId="0" fontId="16" fillId="8" borderId="51" xfId="0" applyFont="1" applyFill="1" applyBorder="1" applyAlignment="1" applyProtection="1">
      <alignment horizontal="center"/>
      <protection/>
    </xf>
    <xf numFmtId="166" fontId="17" fillId="3" borderId="39" xfId="17" applyNumberFormat="1" applyFont="1" applyFill="1" applyBorder="1" applyAlignment="1" applyProtection="1">
      <alignment/>
      <protection/>
    </xf>
    <xf numFmtId="44" fontId="17" fillId="3" borderId="40" xfId="17" applyFont="1" applyFill="1" applyBorder="1" applyAlignment="1" applyProtection="1">
      <alignment horizontal="center"/>
      <protection/>
    </xf>
    <xf numFmtId="166" fontId="16" fillId="3" borderId="0" xfId="17" applyNumberFormat="1" applyFont="1" applyFill="1" applyBorder="1" applyAlignment="1" applyProtection="1">
      <alignment/>
      <protection/>
    </xf>
    <xf numFmtId="0" fontId="11" fillId="0" borderId="31" xfId="0" applyFont="1" applyFill="1" applyBorder="1" applyAlignment="1" applyProtection="1">
      <alignment/>
      <protection/>
    </xf>
    <xf numFmtId="164" fontId="24" fillId="7" borderId="14" xfId="17" applyNumberFormat="1" applyFont="1" applyFill="1" applyBorder="1" applyAlignment="1" applyProtection="1">
      <alignment horizontal="center"/>
      <protection locked="0"/>
    </xf>
    <xf numFmtId="0" fontId="17" fillId="3" borderId="57" xfId="0" applyFont="1" applyFill="1" applyBorder="1" applyAlignment="1" applyProtection="1">
      <alignment horizontal="center"/>
      <protection locked="0"/>
    </xf>
    <xf numFmtId="0" fontId="26" fillId="11" borderId="45" xfId="0" applyFont="1" applyFill="1" applyBorder="1" applyAlignment="1" applyProtection="1">
      <alignment/>
      <protection/>
    </xf>
    <xf numFmtId="0" fontId="11" fillId="11" borderId="57" xfId="0" applyFont="1" applyFill="1" applyBorder="1" applyAlignment="1" applyProtection="1">
      <alignment/>
      <protection/>
    </xf>
    <xf numFmtId="0" fontId="17" fillId="11" borderId="57" xfId="0" applyFont="1" applyFill="1" applyBorder="1" applyAlignment="1" applyProtection="1">
      <alignment/>
      <protection/>
    </xf>
    <xf numFmtId="0" fontId="17" fillId="11" borderId="50" xfId="0" applyFont="1" applyFill="1" applyBorder="1" applyAlignment="1" applyProtection="1">
      <alignment/>
      <protection/>
    </xf>
    <xf numFmtId="0" fontId="0" fillId="11" borderId="4" xfId="0" applyFill="1" applyBorder="1" applyAlignment="1" applyProtection="1">
      <alignment/>
      <protection/>
    </xf>
    <xf numFmtId="0" fontId="11" fillId="11" borderId="0" xfId="0" applyFont="1" applyFill="1" applyBorder="1" applyAlignment="1" applyProtection="1">
      <alignment/>
      <protection/>
    </xf>
    <xf numFmtId="0" fontId="17" fillId="11" borderId="0" xfId="0" applyFont="1" applyFill="1" applyBorder="1" applyAlignment="1" applyProtection="1">
      <alignment/>
      <protection/>
    </xf>
    <xf numFmtId="0" fontId="17" fillId="11" borderId="25" xfId="0" applyFont="1" applyFill="1" applyBorder="1" applyAlignment="1" applyProtection="1">
      <alignment/>
      <protection/>
    </xf>
    <xf numFmtId="0" fontId="26" fillId="11" borderId="4" xfId="0" applyFont="1" applyFill="1" applyBorder="1" applyAlignment="1" applyProtection="1">
      <alignment/>
      <protection/>
    </xf>
    <xf numFmtId="0" fontId="0" fillId="11" borderId="4" xfId="0" applyFont="1" applyFill="1" applyBorder="1" applyAlignment="1" applyProtection="1">
      <alignment/>
      <protection/>
    </xf>
    <xf numFmtId="0" fontId="0" fillId="11" borderId="0" xfId="0" applyFont="1" applyFill="1" applyBorder="1" applyAlignment="1" applyProtection="1">
      <alignment/>
      <protection/>
    </xf>
    <xf numFmtId="167" fontId="17" fillId="0" borderId="43" xfId="15" applyNumberFormat="1" applyFont="1" applyBorder="1" applyAlignment="1" applyProtection="1">
      <alignment/>
      <protection/>
    </xf>
    <xf numFmtId="3" fontId="16" fillId="12" borderId="14" xfId="0" applyNumberFormat="1" applyFont="1" applyFill="1" applyBorder="1" applyAlignment="1" applyProtection="1">
      <alignment/>
      <protection locked="0"/>
    </xf>
    <xf numFmtId="167" fontId="17" fillId="0" borderId="31" xfId="15" applyNumberFormat="1" applyFont="1" applyFill="1" applyBorder="1" applyAlignment="1" applyProtection="1">
      <alignment horizontal="center"/>
      <protection/>
    </xf>
    <xf numFmtId="0" fontId="0" fillId="0" borderId="45" xfId="0" applyBorder="1" applyAlignment="1">
      <alignment/>
    </xf>
    <xf numFmtId="0" fontId="29" fillId="4" borderId="64" xfId="0" applyFont="1" applyFill="1" applyBorder="1" applyAlignment="1">
      <alignment horizontal="left" vertical="justify" textRotation="90"/>
    </xf>
    <xf numFmtId="0" fontId="29" fillId="4" borderId="66" xfId="0" applyFont="1" applyFill="1" applyBorder="1" applyAlignment="1">
      <alignment horizontal="left" vertical="justify" textRotation="90"/>
    </xf>
    <xf numFmtId="0" fontId="28" fillId="10" borderId="63" xfId="0" applyFont="1" applyFill="1" applyBorder="1" applyAlignment="1" applyProtection="1">
      <alignment horizontal="left" vertical="justify" textRotation="90"/>
      <protection/>
    </xf>
    <xf numFmtId="0" fontId="29" fillId="10" borderId="64" xfId="0" applyFont="1" applyFill="1" applyBorder="1" applyAlignment="1">
      <alignment horizontal="left" vertical="justify" textRotation="90"/>
    </xf>
    <xf numFmtId="0" fontId="29" fillId="10" borderId="66" xfId="0" applyFont="1" applyFill="1" applyBorder="1" applyAlignment="1">
      <alignment horizontal="left" vertical="justify" textRotation="90"/>
    </xf>
    <xf numFmtId="0" fontId="28" fillId="9" borderId="63" xfId="0" applyFont="1" applyFill="1" applyBorder="1" applyAlignment="1" applyProtection="1">
      <alignment horizontal="left" vertical="justify" textRotation="90"/>
      <protection/>
    </xf>
    <xf numFmtId="0" fontId="29" fillId="9" borderId="64" xfId="0" applyFont="1" applyFill="1" applyBorder="1" applyAlignment="1">
      <alignment horizontal="left" vertical="justify" textRotation="90"/>
    </xf>
    <xf numFmtId="0" fontId="29" fillId="9" borderId="66" xfId="0" applyFont="1" applyFill="1" applyBorder="1" applyAlignment="1">
      <alignment horizontal="left" vertical="justify" textRotation="90"/>
    </xf>
    <xf numFmtId="0" fontId="26" fillId="11" borderId="4" xfId="0" applyFont="1" applyFill="1" applyBorder="1" applyAlignment="1" applyProtection="1">
      <alignment wrapText="1"/>
      <protection/>
    </xf>
    <xf numFmtId="0" fontId="0" fillId="11" borderId="0" xfId="0" applyFill="1" applyBorder="1" applyAlignment="1">
      <alignment wrapText="1"/>
    </xf>
    <xf numFmtId="0" fontId="0" fillId="11" borderId="25" xfId="0" applyFill="1" applyBorder="1" applyAlignment="1">
      <alignment wrapText="1"/>
    </xf>
    <xf numFmtId="0" fontId="0" fillId="11" borderId="4" xfId="0" applyFill="1" applyBorder="1" applyAlignment="1">
      <alignment wrapText="1"/>
    </xf>
    <xf numFmtId="0" fontId="26" fillId="11" borderId="4" xfId="0" applyFont="1" applyFill="1" applyBorder="1" applyAlignment="1">
      <alignment wrapText="1"/>
    </xf>
    <xf numFmtId="0" fontId="0" fillId="11" borderId="46" xfId="0" applyFill="1" applyBorder="1" applyAlignment="1">
      <alignment wrapText="1"/>
    </xf>
    <xf numFmtId="0" fontId="0" fillId="11" borderId="31" xfId="0" applyFill="1" applyBorder="1" applyAlignment="1">
      <alignment wrapText="1"/>
    </xf>
    <xf numFmtId="0" fontId="0" fillId="11" borderId="54" xfId="0" applyFill="1" applyBorder="1" applyAlignment="1">
      <alignment wrapText="1"/>
    </xf>
    <xf numFmtId="0" fontId="28" fillId="8" borderId="63" xfId="0" applyFont="1" applyFill="1" applyBorder="1" applyAlignment="1" applyProtection="1">
      <alignment horizontal="left" vertical="justify" textRotation="90"/>
      <protection/>
    </xf>
    <xf numFmtId="0" fontId="29" fillId="8" borderId="64" xfId="0" applyFont="1" applyFill="1" applyBorder="1" applyAlignment="1">
      <alignment horizontal="left" vertical="justify" textRotation="90"/>
    </xf>
    <xf numFmtId="0" fontId="29" fillId="8" borderId="66" xfId="0" applyFont="1" applyFill="1" applyBorder="1" applyAlignment="1">
      <alignment horizontal="left" vertical="justify" textRotation="90"/>
    </xf>
    <xf numFmtId="0" fontId="26" fillId="9" borderId="5" xfId="0" applyFont="1" applyFill="1" applyBorder="1" applyAlignment="1" applyProtection="1">
      <alignment horizontal="center"/>
      <protection/>
    </xf>
    <xf numFmtId="0" fontId="26" fillId="9" borderId="55" xfId="0" applyFont="1" applyFill="1" applyBorder="1" applyAlignment="1" applyProtection="1">
      <alignment horizontal="center"/>
      <protection/>
    </xf>
    <xf numFmtId="0" fontId="28" fillId="4" borderId="63" xfId="0" applyFont="1" applyFill="1" applyBorder="1" applyAlignment="1" applyProtection="1">
      <alignment horizontal="left" vertical="justify" textRotation="90"/>
      <protection/>
    </xf>
    <xf numFmtId="0" fontId="26" fillId="4" borderId="5" xfId="0" applyFont="1" applyFill="1" applyBorder="1" applyAlignment="1" applyProtection="1">
      <alignment horizontal="center"/>
      <protection/>
    </xf>
    <xf numFmtId="0" fontId="26" fillId="4" borderId="55" xfId="0" applyFont="1" applyFill="1" applyBorder="1" applyAlignment="1" applyProtection="1">
      <alignment horizontal="center"/>
      <protection/>
    </xf>
    <xf numFmtId="0" fontId="0" fillId="11" borderId="0" xfId="0" applyFill="1" applyBorder="1" applyAlignment="1" applyProtection="1">
      <alignment wrapText="1"/>
      <protection/>
    </xf>
    <xf numFmtId="0" fontId="0" fillId="0" borderId="0" xfId="0" applyAlignment="1">
      <alignment wrapText="1"/>
    </xf>
    <xf numFmtId="0" fontId="0" fillId="0" borderId="25" xfId="0" applyBorder="1" applyAlignment="1">
      <alignment wrapText="1"/>
    </xf>
    <xf numFmtId="0" fontId="26" fillId="8" borderId="5" xfId="0" applyFont="1" applyFill="1" applyBorder="1" applyAlignment="1" applyProtection="1">
      <alignment horizontal="center"/>
      <protection/>
    </xf>
    <xf numFmtId="0" fontId="26" fillId="8" borderId="55" xfId="0" applyFont="1" applyFill="1" applyBorder="1" applyAlignment="1" applyProtection="1">
      <alignment horizontal="center"/>
      <protection/>
    </xf>
    <xf numFmtId="0" fontId="26" fillId="10" borderId="5" xfId="0" applyFont="1" applyFill="1" applyBorder="1" applyAlignment="1" applyProtection="1">
      <alignment horizontal="center"/>
      <protection/>
    </xf>
    <xf numFmtId="0" fontId="26" fillId="10" borderId="55" xfId="0" applyFont="1" applyFill="1" applyBorder="1" applyAlignment="1" applyProtection="1">
      <alignment horizontal="center"/>
      <protection/>
    </xf>
    <xf numFmtId="0" fontId="0" fillId="11" borderId="0" xfId="0" applyFont="1" applyFill="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P280"/>
  <sheetViews>
    <sheetView tabSelected="1" zoomScale="75" zoomScaleNormal="75" workbookViewId="0" topLeftCell="E129">
      <selection activeCell="K149" sqref="K149"/>
    </sheetView>
  </sheetViews>
  <sheetFormatPr defaultColWidth="11.00390625" defaultRowHeight="15.75"/>
  <cols>
    <col min="1" max="1" width="1.625" style="0" customWidth="1"/>
    <col min="2" max="2" width="3.625" style="0" customWidth="1"/>
    <col min="3" max="4" width="14.625" style="0" customWidth="1"/>
    <col min="5" max="5" width="15.625" style="0" customWidth="1"/>
    <col min="6" max="6" width="13.625" style="0" customWidth="1"/>
    <col min="7" max="7" width="15.625" style="0" customWidth="1"/>
    <col min="8" max="8" width="13.625" style="0" customWidth="1"/>
    <col min="9" max="9" width="15.625" style="0" customWidth="1"/>
    <col min="10" max="10" width="13.625" style="0" customWidth="1"/>
    <col min="11" max="11" width="15.625" style="0" customWidth="1"/>
    <col min="12" max="12" width="13.625" style="0" customWidth="1"/>
    <col min="13" max="14" width="15.625" style="0" customWidth="1"/>
    <col min="15" max="15" width="19.625" style="0" customWidth="1"/>
    <col min="16" max="16384" width="8.875" style="0" customWidth="1"/>
  </cols>
  <sheetData>
    <row r="1" ht="15">
      <c r="C1" s="178"/>
    </row>
    <row r="2" ht="15.75" thickBot="1"/>
    <row r="3" spans="2:10" ht="15">
      <c r="B3" s="289" t="s">
        <v>93</v>
      </c>
      <c r="C3" s="290"/>
      <c r="D3" s="290"/>
      <c r="E3" s="290"/>
      <c r="F3" s="290"/>
      <c r="G3" s="290"/>
      <c r="H3" s="291"/>
      <c r="I3" s="219"/>
      <c r="J3" s="219"/>
    </row>
    <row r="4" spans="2:10" ht="15">
      <c r="B4" s="356" t="s">
        <v>12</v>
      </c>
      <c r="C4" s="354"/>
      <c r="D4" s="354"/>
      <c r="E4" s="354"/>
      <c r="F4" s="354"/>
      <c r="G4" s="354"/>
      <c r="H4" s="355"/>
      <c r="I4" s="220"/>
      <c r="J4" s="220"/>
    </row>
    <row r="5" spans="2:10" ht="15">
      <c r="B5" s="356"/>
      <c r="C5" s="354"/>
      <c r="D5" s="354"/>
      <c r="E5" s="354"/>
      <c r="F5" s="354"/>
      <c r="G5" s="354"/>
      <c r="H5" s="355"/>
      <c r="I5" s="220"/>
      <c r="J5" s="220"/>
    </row>
    <row r="6" spans="2:10" ht="15">
      <c r="B6" s="295"/>
      <c r="C6" s="296"/>
      <c r="D6" s="296"/>
      <c r="E6" s="296"/>
      <c r="F6" s="296"/>
      <c r="G6" s="296"/>
      <c r="H6" s="297"/>
      <c r="I6" s="219"/>
      <c r="J6" s="219"/>
    </row>
    <row r="7" spans="2:10" ht="15">
      <c r="B7" s="356" t="s">
        <v>94</v>
      </c>
      <c r="C7" s="354"/>
      <c r="D7" s="354"/>
      <c r="E7" s="354"/>
      <c r="F7" s="354"/>
      <c r="G7" s="354"/>
      <c r="H7" s="355"/>
      <c r="I7" s="220"/>
      <c r="J7" s="220"/>
    </row>
    <row r="8" spans="2:10" ht="15">
      <c r="B8" s="356"/>
      <c r="C8" s="354"/>
      <c r="D8" s="354"/>
      <c r="E8" s="354"/>
      <c r="F8" s="354"/>
      <c r="G8" s="354"/>
      <c r="H8" s="355"/>
      <c r="I8" s="220"/>
      <c r="J8" s="220"/>
    </row>
    <row r="9" spans="2:10" ht="15">
      <c r="B9" s="356"/>
      <c r="C9" s="354"/>
      <c r="D9" s="354"/>
      <c r="E9" s="354"/>
      <c r="F9" s="354"/>
      <c r="G9" s="354"/>
      <c r="H9" s="355"/>
      <c r="I9" s="221"/>
      <c r="J9" s="221"/>
    </row>
    <row r="10" spans="2:10" ht="15">
      <c r="B10" s="295"/>
      <c r="C10" s="296"/>
      <c r="D10" s="296"/>
      <c r="E10" s="296"/>
      <c r="F10" s="296"/>
      <c r="G10" s="296"/>
      <c r="H10" s="297"/>
      <c r="I10" s="219"/>
      <c r="J10" s="219"/>
    </row>
    <row r="11" spans="2:10" ht="15">
      <c r="B11" s="298" t="s">
        <v>41</v>
      </c>
      <c r="C11" s="296"/>
      <c r="D11" s="296" t="s">
        <v>40</v>
      </c>
      <c r="E11" s="296"/>
      <c r="F11" s="296"/>
      <c r="G11" s="296"/>
      <c r="H11" s="297"/>
      <c r="I11" s="219"/>
      <c r="J11" s="219"/>
    </row>
    <row r="12" spans="2:10" ht="15">
      <c r="B12" s="295"/>
      <c r="C12" s="299" t="s">
        <v>42</v>
      </c>
      <c r="D12" s="354" t="s">
        <v>43</v>
      </c>
      <c r="E12" s="354"/>
      <c r="F12" s="354"/>
      <c r="G12" s="354"/>
      <c r="H12" s="355"/>
      <c r="I12" s="219"/>
      <c r="J12" s="219"/>
    </row>
    <row r="13" spans="2:10" ht="15">
      <c r="B13" s="295"/>
      <c r="C13" s="296"/>
      <c r="D13" s="354"/>
      <c r="E13" s="354"/>
      <c r="F13" s="354"/>
      <c r="G13" s="354"/>
      <c r="H13" s="355"/>
      <c r="I13" s="219"/>
      <c r="J13" s="219"/>
    </row>
    <row r="14" spans="2:10" ht="15">
      <c r="B14" s="295"/>
      <c r="C14" s="296"/>
      <c r="D14" s="354"/>
      <c r="E14" s="354"/>
      <c r="F14" s="354"/>
      <c r="G14" s="354"/>
      <c r="H14" s="355"/>
      <c r="I14" s="219"/>
      <c r="J14" s="219"/>
    </row>
    <row r="15" spans="2:10" ht="15">
      <c r="B15" s="295"/>
      <c r="C15" s="296"/>
      <c r="D15" s="296"/>
      <c r="E15" s="296"/>
      <c r="F15" s="296"/>
      <c r="G15" s="296"/>
      <c r="H15" s="297"/>
      <c r="I15" s="219"/>
      <c r="J15" s="219"/>
    </row>
    <row r="16" spans="2:10" ht="15">
      <c r="B16" s="295" t="s">
        <v>39</v>
      </c>
      <c r="C16" s="296"/>
      <c r="D16" s="296"/>
      <c r="E16" s="296"/>
      <c r="F16" s="296"/>
      <c r="G16" s="296"/>
      <c r="H16" s="297"/>
      <c r="I16" s="219"/>
      <c r="J16" s="219"/>
    </row>
    <row r="17" spans="2:10" ht="15">
      <c r="B17" s="356" t="s">
        <v>38</v>
      </c>
      <c r="C17" s="354"/>
      <c r="D17" s="354"/>
      <c r="E17" s="354"/>
      <c r="F17" s="354"/>
      <c r="G17" s="354"/>
      <c r="H17" s="355"/>
      <c r="I17" s="220"/>
      <c r="J17" s="220"/>
    </row>
    <row r="18" spans="2:10" ht="15">
      <c r="B18" s="356"/>
      <c r="C18" s="354"/>
      <c r="D18" s="354"/>
      <c r="E18" s="354"/>
      <c r="F18" s="354"/>
      <c r="G18" s="354"/>
      <c r="H18" s="355"/>
      <c r="I18" s="220"/>
      <c r="J18" s="220"/>
    </row>
    <row r="19" spans="2:10" ht="15">
      <c r="B19" s="356"/>
      <c r="C19" s="354"/>
      <c r="D19" s="354"/>
      <c r="E19" s="354"/>
      <c r="F19" s="354"/>
      <c r="G19" s="354"/>
      <c r="H19" s="355"/>
      <c r="I19" s="221"/>
      <c r="J19" s="221"/>
    </row>
    <row r="20" spans="2:10" ht="15">
      <c r="B20" s="295"/>
      <c r="C20" s="296"/>
      <c r="D20" s="296"/>
      <c r="E20" s="296"/>
      <c r="F20" s="296"/>
      <c r="G20" s="296"/>
      <c r="H20" s="297"/>
      <c r="I20" s="219"/>
      <c r="J20" s="219"/>
    </row>
    <row r="21" spans="2:10" ht="15">
      <c r="B21" s="356" t="s">
        <v>95</v>
      </c>
      <c r="C21" s="354"/>
      <c r="D21" s="354"/>
      <c r="E21" s="354"/>
      <c r="F21" s="354"/>
      <c r="G21" s="354"/>
      <c r="H21" s="355"/>
      <c r="I21" s="220"/>
      <c r="J21" s="220"/>
    </row>
    <row r="22" spans="2:10" ht="15">
      <c r="B22" s="356"/>
      <c r="C22" s="354"/>
      <c r="D22" s="354"/>
      <c r="E22" s="354"/>
      <c r="F22" s="354"/>
      <c r="G22" s="354"/>
      <c r="H22" s="355"/>
      <c r="I22" s="220"/>
      <c r="J22" s="220"/>
    </row>
    <row r="23" spans="2:10" ht="15">
      <c r="B23" s="356"/>
      <c r="C23" s="354"/>
      <c r="D23" s="354"/>
      <c r="E23" s="354"/>
      <c r="F23" s="354"/>
      <c r="G23" s="354"/>
      <c r="H23" s="355"/>
      <c r="I23" s="221"/>
      <c r="J23" s="221"/>
    </row>
    <row r="24" spans="2:10" ht="15">
      <c r="B24" s="295"/>
      <c r="C24" s="296"/>
      <c r="D24" s="296"/>
      <c r="E24" s="296"/>
      <c r="F24" s="296"/>
      <c r="G24" s="296"/>
      <c r="H24" s="297"/>
      <c r="I24" s="219"/>
      <c r="J24" s="219"/>
    </row>
    <row r="25" spans="2:10" ht="15">
      <c r="B25" s="298" t="s">
        <v>96</v>
      </c>
      <c r="C25" s="296"/>
      <c r="D25" s="296"/>
      <c r="E25" s="296"/>
      <c r="F25" s="296"/>
      <c r="G25" s="296"/>
      <c r="H25" s="297"/>
      <c r="I25" s="219"/>
      <c r="J25" s="219"/>
    </row>
    <row r="26" spans="2:10" ht="15">
      <c r="B26" s="356" t="s">
        <v>97</v>
      </c>
      <c r="C26" s="354"/>
      <c r="D26" s="354"/>
      <c r="E26" s="354"/>
      <c r="F26" s="354"/>
      <c r="G26" s="354"/>
      <c r="H26" s="355"/>
      <c r="I26" s="220"/>
      <c r="J26" s="220"/>
    </row>
    <row r="27" spans="2:10" ht="15">
      <c r="B27" s="356"/>
      <c r="C27" s="354"/>
      <c r="D27" s="354"/>
      <c r="E27" s="354"/>
      <c r="F27" s="354"/>
      <c r="G27" s="354"/>
      <c r="H27" s="355"/>
      <c r="I27" s="220"/>
      <c r="J27" s="220"/>
    </row>
    <row r="28" spans="2:10" ht="15">
      <c r="B28" s="356"/>
      <c r="C28" s="354"/>
      <c r="D28" s="354"/>
      <c r="E28" s="354"/>
      <c r="F28" s="354"/>
      <c r="G28" s="354"/>
      <c r="H28" s="355"/>
      <c r="I28" s="221"/>
      <c r="J28" s="221"/>
    </row>
    <row r="29" spans="2:10" ht="15.75" customHeight="1">
      <c r="B29" s="295"/>
      <c r="C29" s="296"/>
      <c r="D29" s="296"/>
      <c r="E29" s="296"/>
      <c r="F29" s="296"/>
      <c r="G29" s="296"/>
      <c r="H29" s="297"/>
      <c r="I29" s="219"/>
      <c r="J29" s="219"/>
    </row>
    <row r="30" spans="2:10" ht="15.75" thickBot="1">
      <c r="B30" s="300" t="s">
        <v>98</v>
      </c>
      <c r="C30" s="301"/>
      <c r="D30" s="301"/>
      <c r="E30" s="301"/>
      <c r="F30" s="301"/>
      <c r="G30" s="301"/>
      <c r="H30" s="302"/>
      <c r="I30" s="219"/>
      <c r="J30" s="219"/>
    </row>
    <row r="31" ht="15.75" thickBot="1"/>
    <row r="32" spans="2:10" ht="15">
      <c r="B32" s="289" t="s">
        <v>92</v>
      </c>
      <c r="C32" s="290"/>
      <c r="D32" s="290"/>
      <c r="E32" s="290"/>
      <c r="F32" s="290"/>
      <c r="G32" s="290"/>
      <c r="H32" s="291"/>
      <c r="I32" s="219"/>
      <c r="J32" s="219"/>
    </row>
    <row r="33" spans="2:10" ht="15">
      <c r="B33" s="356" t="s">
        <v>99</v>
      </c>
      <c r="C33" s="354"/>
      <c r="D33" s="354"/>
      <c r="E33" s="354"/>
      <c r="F33" s="354"/>
      <c r="G33" s="354"/>
      <c r="H33" s="355"/>
      <c r="I33" s="219"/>
      <c r="J33" s="219"/>
    </row>
    <row r="34" spans="2:10" ht="15">
      <c r="B34" s="356"/>
      <c r="C34" s="354"/>
      <c r="D34" s="354"/>
      <c r="E34" s="354"/>
      <c r="F34" s="354"/>
      <c r="G34" s="354"/>
      <c r="H34" s="355"/>
      <c r="I34" s="219"/>
      <c r="J34" s="219"/>
    </row>
    <row r="35" spans="2:10" ht="15">
      <c r="B35" s="295"/>
      <c r="C35" s="299" t="s">
        <v>32</v>
      </c>
      <c r="D35" s="354" t="s">
        <v>33</v>
      </c>
      <c r="E35" s="370"/>
      <c r="F35" s="370"/>
      <c r="G35" s="370"/>
      <c r="H35" s="371"/>
      <c r="I35" s="220"/>
      <c r="J35" s="220"/>
    </row>
    <row r="36" spans="2:10" ht="15">
      <c r="B36" s="295"/>
      <c r="C36" s="296"/>
      <c r="D36" s="370"/>
      <c r="E36" s="370"/>
      <c r="F36" s="370"/>
      <c r="G36" s="370"/>
      <c r="H36" s="371"/>
      <c r="I36" s="220"/>
      <c r="J36" s="220"/>
    </row>
    <row r="37" spans="2:10" ht="15">
      <c r="B37" s="295"/>
      <c r="C37" s="296"/>
      <c r="D37" s="370"/>
      <c r="E37" s="370"/>
      <c r="F37" s="370"/>
      <c r="G37" s="370"/>
      <c r="H37" s="371"/>
      <c r="I37" s="221"/>
      <c r="J37" s="221"/>
    </row>
    <row r="38" spans="2:10" ht="15.75" customHeight="1">
      <c r="B38" s="295"/>
      <c r="C38" s="296"/>
      <c r="D38" s="370"/>
      <c r="E38" s="370"/>
      <c r="F38" s="370"/>
      <c r="G38" s="370"/>
      <c r="H38" s="371"/>
      <c r="I38" s="221"/>
      <c r="J38" s="221"/>
    </row>
    <row r="39" spans="2:10" ht="15.75" customHeight="1">
      <c r="B39" s="295"/>
      <c r="C39" s="296"/>
      <c r="D39" s="304"/>
      <c r="E39" s="304"/>
      <c r="F39" s="304"/>
      <c r="G39" s="304"/>
      <c r="H39" s="306"/>
      <c r="I39" s="221"/>
      <c r="J39" s="221"/>
    </row>
    <row r="40" spans="2:10" ht="15">
      <c r="B40" s="295"/>
      <c r="C40" s="303" t="s">
        <v>28</v>
      </c>
      <c r="D40" s="354" t="s">
        <v>35</v>
      </c>
      <c r="E40" s="354"/>
      <c r="F40" s="354"/>
      <c r="G40" s="354"/>
      <c r="H40" s="355"/>
      <c r="I40" s="220"/>
      <c r="J40" s="220"/>
    </row>
    <row r="41" spans="2:10" ht="15">
      <c r="B41" s="295"/>
      <c r="C41" s="304"/>
      <c r="D41" s="354"/>
      <c r="E41" s="354"/>
      <c r="F41" s="354"/>
      <c r="G41" s="354"/>
      <c r="H41" s="355"/>
      <c r="I41" s="220"/>
      <c r="J41" s="220"/>
    </row>
    <row r="42" spans="2:10" ht="15">
      <c r="B42" s="295"/>
      <c r="C42" s="304"/>
      <c r="D42" s="354"/>
      <c r="E42" s="354"/>
      <c r="F42" s="354"/>
      <c r="G42" s="354"/>
      <c r="H42" s="355"/>
      <c r="I42" s="220"/>
      <c r="J42" s="220"/>
    </row>
    <row r="43" spans="2:10" ht="15">
      <c r="B43" s="295"/>
      <c r="C43" s="304"/>
      <c r="D43" s="354"/>
      <c r="E43" s="354"/>
      <c r="F43" s="354"/>
      <c r="G43" s="354"/>
      <c r="H43" s="355"/>
      <c r="I43" s="220"/>
      <c r="J43" s="220"/>
    </row>
    <row r="44" spans="2:10" ht="15">
      <c r="B44" s="295"/>
      <c r="C44" s="304"/>
      <c r="D44" s="293"/>
      <c r="E44" s="293"/>
      <c r="F44" s="293"/>
      <c r="G44" s="293"/>
      <c r="H44" s="294"/>
      <c r="I44" s="220"/>
      <c r="J44" s="220"/>
    </row>
    <row r="45" spans="2:10" ht="15">
      <c r="B45" s="295"/>
      <c r="C45" s="299" t="s">
        <v>29</v>
      </c>
      <c r="D45" s="354" t="s">
        <v>34</v>
      </c>
      <c r="E45" s="354"/>
      <c r="F45" s="354"/>
      <c r="G45" s="354"/>
      <c r="H45" s="355"/>
      <c r="I45" s="220"/>
      <c r="J45" s="220"/>
    </row>
    <row r="46" spans="2:10" ht="15">
      <c r="B46" s="295"/>
      <c r="C46" s="296"/>
      <c r="D46" s="354"/>
      <c r="E46" s="354"/>
      <c r="F46" s="354"/>
      <c r="G46" s="354"/>
      <c r="H46" s="355"/>
      <c r="I46" s="220"/>
      <c r="J46" s="220"/>
    </row>
    <row r="47" spans="2:10" ht="15">
      <c r="B47" s="295"/>
      <c r="C47" s="296"/>
      <c r="D47" s="354"/>
      <c r="E47" s="354"/>
      <c r="F47" s="354"/>
      <c r="G47" s="354"/>
      <c r="H47" s="355"/>
      <c r="I47" s="221"/>
      <c r="J47" s="221"/>
    </row>
    <row r="48" spans="2:10" ht="15">
      <c r="B48" s="295"/>
      <c r="C48" s="296"/>
      <c r="D48" s="293"/>
      <c r="E48" s="293"/>
      <c r="F48" s="293"/>
      <c r="G48" s="293"/>
      <c r="H48" s="294"/>
      <c r="I48" s="221"/>
      <c r="J48" s="221"/>
    </row>
    <row r="49" spans="2:10" ht="15">
      <c r="B49" s="295"/>
      <c r="C49" s="299" t="s">
        <v>30</v>
      </c>
      <c r="D49" s="354" t="s">
        <v>36</v>
      </c>
      <c r="E49" s="354"/>
      <c r="F49" s="354"/>
      <c r="G49" s="354"/>
      <c r="H49" s="355"/>
      <c r="I49" s="220"/>
      <c r="J49" s="220"/>
    </row>
    <row r="50" spans="2:10" ht="15">
      <c r="B50" s="295"/>
      <c r="C50" s="296"/>
      <c r="D50" s="354"/>
      <c r="E50" s="354"/>
      <c r="F50" s="354"/>
      <c r="G50" s="354"/>
      <c r="H50" s="355"/>
      <c r="I50" s="220"/>
      <c r="J50" s="220"/>
    </row>
    <row r="51" spans="2:10" ht="15">
      <c r="B51" s="295"/>
      <c r="C51" s="296"/>
      <c r="D51" s="354"/>
      <c r="E51" s="354"/>
      <c r="F51" s="354"/>
      <c r="G51" s="354"/>
      <c r="H51" s="355"/>
      <c r="I51" s="221"/>
      <c r="J51" s="221"/>
    </row>
    <row r="52" spans="2:10" ht="15">
      <c r="B52" s="295"/>
      <c r="C52" s="296"/>
      <c r="D52" s="293"/>
      <c r="E52" s="293"/>
      <c r="F52" s="293"/>
      <c r="G52" s="293"/>
      <c r="H52" s="294"/>
      <c r="I52" s="221"/>
      <c r="J52" s="221"/>
    </row>
    <row r="53" spans="2:10" ht="15">
      <c r="B53" s="295"/>
      <c r="C53" s="299" t="s">
        <v>31</v>
      </c>
      <c r="D53" s="354" t="s">
        <v>37</v>
      </c>
      <c r="E53" s="354"/>
      <c r="F53" s="354"/>
      <c r="G53" s="354"/>
      <c r="H53" s="355"/>
      <c r="I53" s="220"/>
      <c r="J53" s="220"/>
    </row>
    <row r="54" spans="2:10" ht="15">
      <c r="B54" s="295"/>
      <c r="C54" s="296"/>
      <c r="D54" s="354"/>
      <c r="E54" s="354"/>
      <c r="F54" s="354"/>
      <c r="G54" s="354"/>
      <c r="H54" s="355"/>
      <c r="I54" s="220"/>
      <c r="J54" s="220"/>
    </row>
    <row r="55" spans="2:10" ht="15">
      <c r="B55" s="305"/>
      <c r="C55" s="304"/>
      <c r="D55" s="354"/>
      <c r="E55" s="354"/>
      <c r="F55" s="354"/>
      <c r="G55" s="354"/>
      <c r="H55" s="355"/>
      <c r="I55" s="220"/>
      <c r="J55" s="220"/>
    </row>
    <row r="56" spans="2:10" ht="15">
      <c r="B56" s="305"/>
      <c r="C56" s="304"/>
      <c r="D56" s="304"/>
      <c r="E56" s="304"/>
      <c r="F56" s="304"/>
      <c r="G56" s="304"/>
      <c r="H56" s="306"/>
      <c r="I56" s="220"/>
      <c r="J56" s="220"/>
    </row>
    <row r="57" spans="2:10" ht="15">
      <c r="B57" s="357" t="s">
        <v>44</v>
      </c>
      <c r="C57" s="354"/>
      <c r="D57" s="354"/>
      <c r="E57" s="354"/>
      <c r="F57" s="354"/>
      <c r="G57" s="354"/>
      <c r="H57" s="355"/>
      <c r="I57" s="220"/>
      <c r="J57" s="220"/>
    </row>
    <row r="58" spans="2:10" ht="15">
      <c r="B58" s="356"/>
      <c r="C58" s="354"/>
      <c r="D58" s="354"/>
      <c r="E58" s="354"/>
      <c r="F58" s="354"/>
      <c r="G58" s="354"/>
      <c r="H58" s="355"/>
      <c r="I58" s="220"/>
      <c r="J58" s="220"/>
    </row>
    <row r="59" spans="2:10" ht="15">
      <c r="B59" s="356"/>
      <c r="C59" s="354"/>
      <c r="D59" s="354"/>
      <c r="E59" s="354"/>
      <c r="F59" s="354"/>
      <c r="G59" s="354"/>
      <c r="H59" s="355"/>
      <c r="I59" s="221"/>
      <c r="J59" s="221"/>
    </row>
    <row r="60" spans="2:10" ht="15">
      <c r="B60" s="356" t="s">
        <v>45</v>
      </c>
      <c r="C60" s="354"/>
      <c r="D60" s="354"/>
      <c r="E60" s="354"/>
      <c r="F60" s="354"/>
      <c r="G60" s="354"/>
      <c r="H60" s="355"/>
      <c r="I60" s="220"/>
      <c r="J60" s="220"/>
    </row>
    <row r="61" spans="2:10" ht="15">
      <c r="B61" s="356"/>
      <c r="C61" s="354"/>
      <c r="D61" s="354"/>
      <c r="E61" s="354"/>
      <c r="F61" s="354"/>
      <c r="G61" s="354"/>
      <c r="H61" s="355"/>
      <c r="I61" s="220"/>
      <c r="J61" s="220"/>
    </row>
    <row r="62" spans="2:10" ht="15">
      <c r="B62" s="356"/>
      <c r="C62" s="354"/>
      <c r="D62" s="354"/>
      <c r="E62" s="354"/>
      <c r="F62" s="354"/>
      <c r="G62" s="354"/>
      <c r="H62" s="355"/>
      <c r="I62" s="221"/>
      <c r="J62" s="221"/>
    </row>
    <row r="63" spans="2:10" ht="15">
      <c r="B63" s="292"/>
      <c r="C63" s="293"/>
      <c r="D63" s="293"/>
      <c r="E63" s="293"/>
      <c r="F63" s="293"/>
      <c r="G63" s="293"/>
      <c r="H63" s="294"/>
      <c r="I63" s="221"/>
      <c r="J63" s="221"/>
    </row>
    <row r="64" spans="2:10" ht="15.75" thickBot="1">
      <c r="B64" s="307" t="s">
        <v>0</v>
      </c>
      <c r="C64" s="308"/>
      <c r="D64" s="308"/>
      <c r="E64" s="308"/>
      <c r="F64" s="308"/>
      <c r="G64" s="308"/>
      <c r="H64" s="309"/>
      <c r="I64" s="221"/>
      <c r="J64" s="221"/>
    </row>
    <row r="65" spans="2:10" ht="15">
      <c r="B65" s="288"/>
      <c r="C65" s="221"/>
      <c r="D65" s="221"/>
      <c r="E65" s="221"/>
      <c r="F65" s="221"/>
      <c r="G65" s="221"/>
      <c r="H65" s="221"/>
      <c r="I65" s="221"/>
      <c r="J65" s="221"/>
    </row>
    <row r="66" spans="2:10" ht="15">
      <c r="B66" s="175"/>
      <c r="C66" s="175"/>
      <c r="D66" s="175"/>
      <c r="E66" s="175"/>
      <c r="F66" s="175"/>
      <c r="G66" s="175"/>
      <c r="H66" s="175"/>
      <c r="I66" s="175"/>
      <c r="J66" s="175"/>
    </row>
    <row r="67" spans="1:16" ht="16.5">
      <c r="A67" s="1"/>
      <c r="B67" s="5" t="s">
        <v>52</v>
      </c>
      <c r="C67" s="1"/>
      <c r="D67" s="1"/>
      <c r="E67" s="1"/>
      <c r="F67" s="1"/>
      <c r="G67" s="2"/>
      <c r="H67" s="2"/>
      <c r="I67" s="1"/>
      <c r="J67" s="1"/>
      <c r="K67" s="1"/>
      <c r="L67" s="1"/>
      <c r="M67" s="1"/>
      <c r="N67" s="1"/>
      <c r="O67" s="1"/>
      <c r="P67" s="1"/>
    </row>
    <row r="68" spans="1:16" ht="18" thickBot="1">
      <c r="A68" s="1"/>
      <c r="B68" s="5"/>
      <c r="C68" s="5" t="s">
        <v>1</v>
      </c>
      <c r="D68" s="1"/>
      <c r="E68" s="342">
        <v>1000000</v>
      </c>
      <c r="F68" s="1"/>
      <c r="G68" s="2"/>
      <c r="H68" s="2"/>
      <c r="I68" s="1"/>
      <c r="J68" s="1"/>
      <c r="K68" s="1"/>
      <c r="L68" s="1"/>
      <c r="M68" s="1"/>
      <c r="N68" s="1"/>
      <c r="O68" s="1"/>
      <c r="P68" s="1"/>
    </row>
    <row r="69" spans="1:16" ht="15">
      <c r="A69" s="3"/>
      <c r="B69" s="3"/>
      <c r="C69" s="6" t="s">
        <v>53</v>
      </c>
      <c r="D69" s="7" t="s">
        <v>54</v>
      </c>
      <c r="E69" s="19" t="s">
        <v>13</v>
      </c>
      <c r="F69" s="8" t="s">
        <v>55</v>
      </c>
      <c r="G69" s="177" t="s">
        <v>14</v>
      </c>
      <c r="H69" s="9"/>
      <c r="I69" s="242" t="s">
        <v>15</v>
      </c>
      <c r="J69" s="243"/>
      <c r="K69" s="184" t="s">
        <v>16</v>
      </c>
      <c r="L69" s="185"/>
      <c r="M69" s="182" t="s">
        <v>17</v>
      </c>
      <c r="N69" s="183"/>
      <c r="O69" s="10" t="s">
        <v>101</v>
      </c>
      <c r="P69" s="11"/>
    </row>
    <row r="70" spans="1:16" ht="15">
      <c r="A70" s="3"/>
      <c r="B70" s="3"/>
      <c r="C70" s="12">
        <v>1</v>
      </c>
      <c r="D70" s="159" t="s">
        <v>21</v>
      </c>
      <c r="E70" s="156">
        <v>500000</v>
      </c>
      <c r="F70" s="79" t="s">
        <v>55</v>
      </c>
      <c r="G70" s="156">
        <v>0</v>
      </c>
      <c r="H70" s="80"/>
      <c r="I70" s="158">
        <v>0</v>
      </c>
      <c r="J70" s="244"/>
      <c r="K70" s="156">
        <v>0</v>
      </c>
      <c r="L70" s="186"/>
      <c r="M70" s="156">
        <v>0</v>
      </c>
      <c r="N70" s="180"/>
      <c r="O70" s="61">
        <f>SUM(G70+I70+K70+M70)</f>
        <v>0</v>
      </c>
      <c r="P70" s="11"/>
    </row>
    <row r="71" spans="1:16" ht="15">
      <c r="A71" s="3"/>
      <c r="B71" s="3"/>
      <c r="C71" s="167">
        <v>2</v>
      </c>
      <c r="D71" s="159" t="s">
        <v>22</v>
      </c>
      <c r="E71" s="157">
        <v>500000</v>
      </c>
      <c r="F71" s="155" t="s">
        <v>55</v>
      </c>
      <c r="G71" s="157">
        <v>0</v>
      </c>
      <c r="H71" s="80"/>
      <c r="I71" s="157">
        <v>0</v>
      </c>
      <c r="J71" s="244"/>
      <c r="K71" s="157">
        <v>0</v>
      </c>
      <c r="L71" s="186"/>
      <c r="M71" s="157">
        <v>0</v>
      </c>
      <c r="N71" s="180"/>
      <c r="O71" s="168">
        <f aca="true" t="shared" si="0" ref="O71:O84">SUM(G71+I71+K71+M71)</f>
        <v>0</v>
      </c>
      <c r="P71" s="11"/>
    </row>
    <row r="72" spans="1:16" ht="15">
      <c r="A72" s="3"/>
      <c r="B72" s="3"/>
      <c r="C72" s="12">
        <v>3</v>
      </c>
      <c r="D72" s="159" t="s">
        <v>23</v>
      </c>
      <c r="E72" s="156">
        <v>0</v>
      </c>
      <c r="F72" s="79" t="s">
        <v>55</v>
      </c>
      <c r="G72" s="156">
        <v>500000</v>
      </c>
      <c r="H72" s="80"/>
      <c r="I72" s="158">
        <v>0</v>
      </c>
      <c r="J72" s="244"/>
      <c r="K72" s="156">
        <v>0</v>
      </c>
      <c r="L72" s="186"/>
      <c r="M72" s="156">
        <v>0</v>
      </c>
      <c r="N72" s="180"/>
      <c r="O72" s="61">
        <f t="shared" si="0"/>
        <v>500000</v>
      </c>
      <c r="P72" s="11"/>
    </row>
    <row r="73" spans="1:16" ht="15">
      <c r="A73" s="3"/>
      <c r="B73" s="3"/>
      <c r="C73" s="167">
        <v>4</v>
      </c>
      <c r="D73" s="159" t="s">
        <v>24</v>
      </c>
      <c r="E73" s="157">
        <v>0</v>
      </c>
      <c r="F73" s="155" t="s">
        <v>55</v>
      </c>
      <c r="G73" s="157">
        <v>500000</v>
      </c>
      <c r="H73" s="80"/>
      <c r="I73" s="157">
        <v>0</v>
      </c>
      <c r="J73" s="244"/>
      <c r="K73" s="157">
        <v>0</v>
      </c>
      <c r="L73" s="186"/>
      <c r="M73" s="157">
        <v>0</v>
      </c>
      <c r="N73" s="180"/>
      <c r="O73" s="168">
        <f t="shared" si="0"/>
        <v>500000</v>
      </c>
      <c r="P73" s="11"/>
    </row>
    <row r="74" spans="1:16" ht="15">
      <c r="A74" s="3"/>
      <c r="B74" s="3"/>
      <c r="C74" s="12">
        <v>5</v>
      </c>
      <c r="D74" s="159" t="s">
        <v>25</v>
      </c>
      <c r="E74" s="156">
        <v>0</v>
      </c>
      <c r="F74" s="79" t="s">
        <v>55</v>
      </c>
      <c r="G74" s="156">
        <v>0</v>
      </c>
      <c r="H74" s="80"/>
      <c r="I74" s="158">
        <v>2000000</v>
      </c>
      <c r="J74" s="244"/>
      <c r="K74" s="156">
        <v>0</v>
      </c>
      <c r="L74" s="186"/>
      <c r="M74" s="156">
        <v>0</v>
      </c>
      <c r="N74" s="180"/>
      <c r="O74" s="61">
        <f t="shared" si="0"/>
        <v>2000000</v>
      </c>
      <c r="P74" s="11"/>
    </row>
    <row r="75" spans="1:16" ht="15">
      <c r="A75" s="3"/>
      <c r="B75" s="3"/>
      <c r="C75" s="167">
        <v>6</v>
      </c>
      <c r="D75" s="159" t="s">
        <v>26</v>
      </c>
      <c r="E75" s="157">
        <v>0</v>
      </c>
      <c r="F75" s="155" t="s">
        <v>55</v>
      </c>
      <c r="G75" s="157">
        <v>0</v>
      </c>
      <c r="H75" s="80"/>
      <c r="I75" s="157">
        <v>0</v>
      </c>
      <c r="J75" s="244"/>
      <c r="K75" s="157">
        <v>5000000</v>
      </c>
      <c r="L75" s="186"/>
      <c r="M75" s="157">
        <v>0</v>
      </c>
      <c r="N75" s="180"/>
      <c r="O75" s="168">
        <f t="shared" si="0"/>
        <v>5000000</v>
      </c>
      <c r="P75" s="11"/>
    </row>
    <row r="76" spans="1:16" ht="15">
      <c r="A76" s="3"/>
      <c r="B76" s="3"/>
      <c r="C76" s="12">
        <v>7</v>
      </c>
      <c r="D76" s="159" t="s">
        <v>27</v>
      </c>
      <c r="E76" s="156">
        <v>0</v>
      </c>
      <c r="F76" s="79" t="s">
        <v>55</v>
      </c>
      <c r="G76" s="156">
        <v>0</v>
      </c>
      <c r="H76" s="80"/>
      <c r="I76" s="158">
        <v>0</v>
      </c>
      <c r="J76" s="244"/>
      <c r="K76" s="156">
        <v>0</v>
      </c>
      <c r="L76" s="186"/>
      <c r="M76" s="156">
        <v>8000000</v>
      </c>
      <c r="N76" s="180"/>
      <c r="O76" s="61">
        <f t="shared" si="0"/>
        <v>8000000</v>
      </c>
      <c r="P76" s="11"/>
    </row>
    <row r="77" spans="1:16" ht="15">
      <c r="A77" s="3"/>
      <c r="B77" s="3"/>
      <c r="C77" s="167">
        <v>8</v>
      </c>
      <c r="D77" s="159" t="s">
        <v>91</v>
      </c>
      <c r="E77" s="157">
        <v>0</v>
      </c>
      <c r="F77" s="155" t="s">
        <v>55</v>
      </c>
      <c r="G77" s="157">
        <v>0</v>
      </c>
      <c r="H77" s="80"/>
      <c r="I77" s="157">
        <v>0</v>
      </c>
      <c r="J77" s="244"/>
      <c r="K77" s="157">
        <v>0</v>
      </c>
      <c r="L77" s="186"/>
      <c r="M77" s="157">
        <v>0</v>
      </c>
      <c r="N77" s="180"/>
      <c r="O77" s="168">
        <f t="shared" si="0"/>
        <v>0</v>
      </c>
      <c r="P77" s="11"/>
    </row>
    <row r="78" spans="1:16" ht="15">
      <c r="A78" s="3"/>
      <c r="B78" s="3"/>
      <c r="C78" s="12">
        <v>9</v>
      </c>
      <c r="D78" s="159" t="s">
        <v>91</v>
      </c>
      <c r="E78" s="156">
        <v>0</v>
      </c>
      <c r="F78" s="79" t="s">
        <v>55</v>
      </c>
      <c r="G78" s="156">
        <v>0</v>
      </c>
      <c r="H78" s="80"/>
      <c r="I78" s="158">
        <v>0</v>
      </c>
      <c r="J78" s="244"/>
      <c r="K78" s="156">
        <v>0</v>
      </c>
      <c r="L78" s="186"/>
      <c r="M78" s="156">
        <v>0</v>
      </c>
      <c r="N78" s="180"/>
      <c r="O78" s="61">
        <f t="shared" si="0"/>
        <v>0</v>
      </c>
      <c r="P78" s="11"/>
    </row>
    <row r="79" spans="1:16" ht="15">
      <c r="A79" s="3"/>
      <c r="B79" s="3"/>
      <c r="C79" s="167">
        <v>10</v>
      </c>
      <c r="D79" s="159" t="s">
        <v>91</v>
      </c>
      <c r="E79" s="157">
        <v>0</v>
      </c>
      <c r="F79" s="155" t="s">
        <v>55</v>
      </c>
      <c r="G79" s="157">
        <v>0</v>
      </c>
      <c r="H79" s="80"/>
      <c r="I79" s="157">
        <v>0</v>
      </c>
      <c r="J79" s="244"/>
      <c r="K79" s="157">
        <v>0</v>
      </c>
      <c r="L79" s="186"/>
      <c r="M79" s="157">
        <v>0</v>
      </c>
      <c r="N79" s="180"/>
      <c r="O79" s="168">
        <f t="shared" si="0"/>
        <v>0</v>
      </c>
      <c r="P79" s="11"/>
    </row>
    <row r="80" spans="1:16" ht="15">
      <c r="A80" s="3"/>
      <c r="B80" s="3"/>
      <c r="C80" s="12">
        <v>11</v>
      </c>
      <c r="D80" s="159" t="s">
        <v>91</v>
      </c>
      <c r="E80" s="156">
        <v>0</v>
      </c>
      <c r="F80" s="79" t="s">
        <v>55</v>
      </c>
      <c r="G80" s="156">
        <v>0</v>
      </c>
      <c r="H80" s="80"/>
      <c r="I80" s="158">
        <v>0</v>
      </c>
      <c r="J80" s="244"/>
      <c r="K80" s="156">
        <v>0</v>
      </c>
      <c r="L80" s="186"/>
      <c r="M80" s="156">
        <v>0</v>
      </c>
      <c r="N80" s="180"/>
      <c r="O80" s="61">
        <f t="shared" si="0"/>
        <v>0</v>
      </c>
      <c r="P80" s="11"/>
    </row>
    <row r="81" spans="1:16" ht="15">
      <c r="A81" s="3"/>
      <c r="B81" s="3"/>
      <c r="C81" s="167">
        <v>12</v>
      </c>
      <c r="D81" s="159" t="s">
        <v>91</v>
      </c>
      <c r="E81" s="157">
        <v>0</v>
      </c>
      <c r="F81" s="155" t="s">
        <v>55</v>
      </c>
      <c r="G81" s="157">
        <v>0</v>
      </c>
      <c r="H81" s="80"/>
      <c r="I81" s="157">
        <v>0</v>
      </c>
      <c r="J81" s="244"/>
      <c r="K81" s="157">
        <v>0</v>
      </c>
      <c r="L81" s="186"/>
      <c r="M81" s="157">
        <v>0</v>
      </c>
      <c r="N81" s="180"/>
      <c r="O81" s="168">
        <f t="shared" si="0"/>
        <v>0</v>
      </c>
      <c r="P81" s="11"/>
    </row>
    <row r="82" spans="1:16" ht="15">
      <c r="A82" s="3"/>
      <c r="B82" s="3"/>
      <c r="C82" s="12">
        <v>13</v>
      </c>
      <c r="D82" s="159" t="s">
        <v>91</v>
      </c>
      <c r="E82" s="156">
        <v>0</v>
      </c>
      <c r="F82" s="79" t="s">
        <v>55</v>
      </c>
      <c r="G82" s="156">
        <v>0</v>
      </c>
      <c r="H82" s="80"/>
      <c r="I82" s="158">
        <v>0</v>
      </c>
      <c r="J82" s="244"/>
      <c r="K82" s="156">
        <v>0</v>
      </c>
      <c r="L82" s="186"/>
      <c r="M82" s="156">
        <v>0</v>
      </c>
      <c r="N82" s="180"/>
      <c r="O82" s="61">
        <f t="shared" si="0"/>
        <v>0</v>
      </c>
      <c r="P82" s="11"/>
    </row>
    <row r="83" spans="1:16" ht="15">
      <c r="A83" s="3"/>
      <c r="B83" s="3"/>
      <c r="C83" s="167">
        <v>14</v>
      </c>
      <c r="D83" s="159" t="s">
        <v>91</v>
      </c>
      <c r="E83" s="157">
        <v>0</v>
      </c>
      <c r="F83" s="155" t="s">
        <v>55</v>
      </c>
      <c r="G83" s="157">
        <v>0</v>
      </c>
      <c r="H83" s="80"/>
      <c r="I83" s="157">
        <v>0</v>
      </c>
      <c r="J83" s="244"/>
      <c r="K83" s="157">
        <v>0</v>
      </c>
      <c r="L83" s="186"/>
      <c r="M83" s="157">
        <v>0</v>
      </c>
      <c r="N83" s="180"/>
      <c r="O83" s="168">
        <f t="shared" si="0"/>
        <v>0</v>
      </c>
      <c r="P83" s="11"/>
    </row>
    <row r="84" spans="1:16" ht="15.75" thickBot="1">
      <c r="A84" s="3"/>
      <c r="B84" s="3"/>
      <c r="C84" s="169">
        <v>15</v>
      </c>
      <c r="D84" s="176" t="s">
        <v>91</v>
      </c>
      <c r="E84" s="170">
        <v>0</v>
      </c>
      <c r="F84" s="171" t="s">
        <v>55</v>
      </c>
      <c r="G84" s="170">
        <v>0</v>
      </c>
      <c r="H84" s="172"/>
      <c r="I84" s="173">
        <v>0</v>
      </c>
      <c r="J84" s="245"/>
      <c r="K84" s="170">
        <v>0</v>
      </c>
      <c r="L84" s="187"/>
      <c r="M84" s="170">
        <v>0</v>
      </c>
      <c r="N84" s="181"/>
      <c r="O84" s="174">
        <f t="shared" si="0"/>
        <v>0</v>
      </c>
      <c r="P84" s="11"/>
    </row>
    <row r="85" spans="1:16" ht="15.75" thickBot="1">
      <c r="A85" s="3"/>
      <c r="B85" s="3"/>
      <c r="C85" s="160" t="s">
        <v>58</v>
      </c>
      <c r="D85" s="161" t="s">
        <v>55</v>
      </c>
      <c r="E85" s="162">
        <f>SUM(E70:E84)</f>
        <v>1000000</v>
      </c>
      <c r="F85" s="163"/>
      <c r="G85" s="164">
        <f>SUM(G70:G84)</f>
        <v>1000000</v>
      </c>
      <c r="H85" s="165"/>
      <c r="I85" s="246">
        <f>SUM(I70:I84)</f>
        <v>2000000</v>
      </c>
      <c r="J85" s="247"/>
      <c r="K85" s="188">
        <f>SUM(K70:K84)</f>
        <v>5000000</v>
      </c>
      <c r="L85" s="189"/>
      <c r="M85" s="190">
        <f>SUM(M70:M84)</f>
        <v>8000000</v>
      </c>
      <c r="N85" s="191"/>
      <c r="O85" s="166">
        <f>SUM(G85+I85+K85+M85)</f>
        <v>16000000</v>
      </c>
      <c r="P85" s="11"/>
    </row>
    <row r="86" spans="1:16" ht="15.75" thickBot="1">
      <c r="A86" s="3"/>
      <c r="B86" s="3"/>
      <c r="C86" s="11"/>
      <c r="D86" s="11"/>
      <c r="E86" s="62"/>
      <c r="F86" s="62"/>
      <c r="G86" s="62"/>
      <c r="H86" s="62"/>
      <c r="I86" s="62"/>
      <c r="J86" s="62"/>
      <c r="K86" s="62"/>
      <c r="L86" s="62"/>
      <c r="M86" s="62"/>
      <c r="N86" s="62"/>
      <c r="O86" s="62"/>
      <c r="P86" s="11"/>
    </row>
    <row r="87" spans="1:16" ht="15">
      <c r="A87" s="3"/>
      <c r="B87" s="330" t="s">
        <v>100</v>
      </c>
      <c r="C87" s="331"/>
      <c r="D87" s="331"/>
      <c r="E87" s="332"/>
      <c r="F87" s="332"/>
      <c r="G87" s="332"/>
      <c r="H87" s="333"/>
      <c r="I87" s="62"/>
      <c r="J87" s="62"/>
      <c r="K87" s="62"/>
      <c r="L87" s="62"/>
      <c r="M87" s="62"/>
      <c r="N87" s="62"/>
      <c r="O87" s="62"/>
      <c r="P87" s="11"/>
    </row>
    <row r="88" spans="1:16" ht="15">
      <c r="A88" s="3"/>
      <c r="B88" s="334"/>
      <c r="C88" s="335"/>
      <c r="D88" s="335"/>
      <c r="E88" s="336"/>
      <c r="F88" s="336"/>
      <c r="G88" s="336"/>
      <c r="H88" s="337"/>
      <c r="I88" s="62"/>
      <c r="J88" s="62"/>
      <c r="K88" s="62"/>
      <c r="L88" s="62"/>
      <c r="M88" s="62"/>
      <c r="N88" s="62"/>
      <c r="O88" s="62"/>
      <c r="P88" s="11"/>
    </row>
    <row r="89" spans="1:16" ht="15">
      <c r="A89" s="3"/>
      <c r="B89" s="298" t="s">
        <v>102</v>
      </c>
      <c r="C89" s="369" t="s">
        <v>2</v>
      </c>
      <c r="D89" s="354"/>
      <c r="E89" s="354"/>
      <c r="F89" s="354"/>
      <c r="G89" s="354"/>
      <c r="H89" s="355"/>
      <c r="I89" s="62"/>
      <c r="J89" s="62"/>
      <c r="K89" s="62"/>
      <c r="L89" s="62"/>
      <c r="M89" s="62"/>
      <c r="N89" s="62"/>
      <c r="O89" s="62"/>
      <c r="P89" s="11"/>
    </row>
    <row r="90" spans="1:16" ht="15">
      <c r="A90" s="3"/>
      <c r="B90" s="334"/>
      <c r="C90" s="354"/>
      <c r="D90" s="354"/>
      <c r="E90" s="354"/>
      <c r="F90" s="354"/>
      <c r="G90" s="354"/>
      <c r="H90" s="355"/>
      <c r="I90" s="62"/>
      <c r="J90" s="62"/>
      <c r="K90" s="62"/>
      <c r="L90" s="62"/>
      <c r="M90" s="62"/>
      <c r="N90" s="62"/>
      <c r="O90" s="62"/>
      <c r="P90" s="11"/>
    </row>
    <row r="91" spans="1:16" ht="15">
      <c r="A91" s="3"/>
      <c r="B91" s="334"/>
      <c r="C91" s="354"/>
      <c r="D91" s="354"/>
      <c r="E91" s="354"/>
      <c r="F91" s="354"/>
      <c r="G91" s="354"/>
      <c r="H91" s="355"/>
      <c r="I91" s="62"/>
      <c r="J91" s="62"/>
      <c r="K91" s="62"/>
      <c r="L91" s="62"/>
      <c r="M91" s="62"/>
      <c r="N91" s="62"/>
      <c r="O91" s="62"/>
      <c r="P91" s="11"/>
    </row>
    <row r="92" spans="1:16" ht="15">
      <c r="A92" s="3"/>
      <c r="B92" s="338" t="s">
        <v>103</v>
      </c>
      <c r="C92" s="376" t="s">
        <v>3</v>
      </c>
      <c r="D92" s="354"/>
      <c r="E92" s="354"/>
      <c r="F92" s="354"/>
      <c r="G92" s="354"/>
      <c r="H92" s="355"/>
      <c r="I92" s="62"/>
      <c r="J92" s="62"/>
      <c r="K92" s="62"/>
      <c r="L92" s="62"/>
      <c r="M92" s="62"/>
      <c r="N92" s="62"/>
      <c r="O92" s="62"/>
      <c r="P92" s="11"/>
    </row>
    <row r="93" spans="1:16" ht="15">
      <c r="A93" s="3"/>
      <c r="B93" s="334"/>
      <c r="C93" s="354"/>
      <c r="D93" s="354"/>
      <c r="E93" s="354"/>
      <c r="F93" s="354"/>
      <c r="G93" s="354"/>
      <c r="H93" s="355"/>
      <c r="I93" s="62"/>
      <c r="J93" s="62"/>
      <c r="K93" s="62"/>
      <c r="L93" s="62"/>
      <c r="M93" s="62"/>
      <c r="N93" s="62"/>
      <c r="O93" s="62"/>
      <c r="P93" s="11"/>
    </row>
    <row r="94" spans="1:16" ht="15">
      <c r="A94" s="3"/>
      <c r="B94" s="334"/>
      <c r="C94" s="293"/>
      <c r="D94" s="293"/>
      <c r="E94" s="293"/>
      <c r="F94" s="293"/>
      <c r="G94" s="293"/>
      <c r="H94" s="294"/>
      <c r="I94" s="62"/>
      <c r="J94" s="62"/>
      <c r="K94" s="62"/>
      <c r="L94" s="62"/>
      <c r="M94" s="62"/>
      <c r="N94" s="62"/>
      <c r="O94" s="62"/>
      <c r="P94" s="11"/>
    </row>
    <row r="95" spans="1:16" ht="15">
      <c r="A95" s="3"/>
      <c r="B95" s="338" t="s">
        <v>104</v>
      </c>
      <c r="C95" s="335"/>
      <c r="D95" s="335"/>
      <c r="E95" s="336"/>
      <c r="F95" s="336"/>
      <c r="G95" s="336"/>
      <c r="H95" s="337"/>
      <c r="I95" s="62"/>
      <c r="J95" s="62"/>
      <c r="K95" s="62"/>
      <c r="L95" s="62"/>
      <c r="M95" s="62"/>
      <c r="N95" s="62"/>
      <c r="O95" s="62"/>
      <c r="P95" s="11"/>
    </row>
    <row r="96" spans="1:16" ht="15">
      <c r="A96" s="3"/>
      <c r="B96" s="338"/>
      <c r="C96" s="335"/>
      <c r="D96" s="335"/>
      <c r="E96" s="336"/>
      <c r="F96" s="336"/>
      <c r="G96" s="336"/>
      <c r="H96" s="337"/>
      <c r="I96" s="62"/>
      <c r="J96" s="62"/>
      <c r="K96" s="62"/>
      <c r="L96" s="62"/>
      <c r="M96" s="62"/>
      <c r="N96" s="62"/>
      <c r="O96" s="62"/>
      <c r="P96" s="11"/>
    </row>
    <row r="97" spans="1:16" ht="15">
      <c r="A97" s="3"/>
      <c r="B97" s="339" t="s">
        <v>105</v>
      </c>
      <c r="C97" s="335"/>
      <c r="D97" s="335"/>
      <c r="E97" s="336"/>
      <c r="F97" s="336"/>
      <c r="G97" s="336"/>
      <c r="H97" s="337"/>
      <c r="I97" s="62"/>
      <c r="J97" s="62"/>
      <c r="K97" s="62"/>
      <c r="L97" s="62"/>
      <c r="M97" s="62"/>
      <c r="N97" s="62"/>
      <c r="O97" s="62"/>
      <c r="P97" s="11"/>
    </row>
    <row r="98" spans="1:16" ht="15">
      <c r="A98" s="3"/>
      <c r="B98" s="338" t="s">
        <v>28</v>
      </c>
      <c r="C98" s="335"/>
      <c r="D98" s="376" t="s">
        <v>4</v>
      </c>
      <c r="E98" s="354"/>
      <c r="F98" s="354"/>
      <c r="G98" s="354"/>
      <c r="H98" s="355"/>
      <c r="I98" s="62"/>
      <c r="J98" s="62"/>
      <c r="K98" s="62"/>
      <c r="L98" s="62"/>
      <c r="M98" s="62"/>
      <c r="N98" s="62"/>
      <c r="O98" s="62"/>
      <c r="P98" s="11"/>
    </row>
    <row r="99" spans="1:16" ht="15">
      <c r="A99" s="3"/>
      <c r="B99" s="334"/>
      <c r="C99" s="335"/>
      <c r="D99" s="354"/>
      <c r="E99" s="354"/>
      <c r="F99" s="354"/>
      <c r="G99" s="354"/>
      <c r="H99" s="355"/>
      <c r="I99" s="62"/>
      <c r="J99" s="62"/>
      <c r="K99" s="62"/>
      <c r="L99" s="62"/>
      <c r="M99" s="62"/>
      <c r="N99" s="62"/>
      <c r="O99" s="62"/>
      <c r="P99" s="11"/>
    </row>
    <row r="100" spans="1:16" ht="15">
      <c r="A100" s="3"/>
      <c r="B100" s="334"/>
      <c r="C100" s="335"/>
      <c r="D100" s="354"/>
      <c r="E100" s="354"/>
      <c r="F100" s="354"/>
      <c r="G100" s="354"/>
      <c r="H100" s="355"/>
      <c r="I100" s="62"/>
      <c r="J100" s="62"/>
      <c r="K100" s="62"/>
      <c r="L100" s="62"/>
      <c r="M100" s="62"/>
      <c r="N100" s="62"/>
      <c r="O100" s="62"/>
      <c r="P100" s="11"/>
    </row>
    <row r="101" spans="1:16" ht="15">
      <c r="A101" s="3"/>
      <c r="B101" s="338" t="s">
        <v>29</v>
      </c>
      <c r="C101" s="335"/>
      <c r="D101" s="376" t="s">
        <v>5</v>
      </c>
      <c r="E101" s="354"/>
      <c r="F101" s="354"/>
      <c r="G101" s="354"/>
      <c r="H101" s="355"/>
      <c r="I101" s="62"/>
      <c r="J101" s="62"/>
      <c r="K101" s="62"/>
      <c r="L101" s="62"/>
      <c r="M101" s="62"/>
      <c r="N101" s="62"/>
      <c r="O101" s="62"/>
      <c r="P101" s="11"/>
    </row>
    <row r="102" spans="1:16" ht="15">
      <c r="A102" s="3"/>
      <c r="B102" s="334"/>
      <c r="C102" s="335"/>
      <c r="D102" s="354"/>
      <c r="E102" s="354"/>
      <c r="F102" s="354"/>
      <c r="G102" s="354"/>
      <c r="H102" s="355"/>
      <c r="I102" s="62"/>
      <c r="J102" s="62"/>
      <c r="K102" s="62"/>
      <c r="L102" s="62"/>
      <c r="M102" s="62"/>
      <c r="N102" s="62"/>
      <c r="O102" s="62"/>
      <c r="P102" s="11"/>
    </row>
    <row r="103" spans="1:16" ht="15">
      <c r="A103" s="3"/>
      <c r="B103" s="334"/>
      <c r="C103" s="335"/>
      <c r="D103" s="354"/>
      <c r="E103" s="354"/>
      <c r="F103" s="354"/>
      <c r="G103" s="354"/>
      <c r="H103" s="355"/>
      <c r="I103" s="62"/>
      <c r="J103" s="62"/>
      <c r="K103" s="62"/>
      <c r="L103" s="62"/>
      <c r="M103" s="62"/>
      <c r="N103" s="62"/>
      <c r="O103" s="62"/>
      <c r="P103" s="11"/>
    </row>
    <row r="104" spans="1:16" ht="15">
      <c r="A104" s="3"/>
      <c r="B104" s="338" t="s">
        <v>30</v>
      </c>
      <c r="C104" s="335"/>
      <c r="D104" s="340" t="s">
        <v>6</v>
      </c>
      <c r="E104" s="336"/>
      <c r="F104" s="336"/>
      <c r="G104" s="336"/>
      <c r="H104" s="337"/>
      <c r="I104" s="62"/>
      <c r="J104" s="62"/>
      <c r="K104" s="62"/>
      <c r="L104" s="62"/>
      <c r="M104" s="62"/>
      <c r="N104" s="62"/>
      <c r="O104" s="62"/>
      <c r="P104" s="11"/>
    </row>
    <row r="105" spans="1:16" ht="15">
      <c r="A105" s="3"/>
      <c r="B105" s="338" t="s">
        <v>31</v>
      </c>
      <c r="C105" s="335"/>
      <c r="D105" s="340" t="s">
        <v>7</v>
      </c>
      <c r="E105" s="336"/>
      <c r="F105" s="336"/>
      <c r="G105" s="336"/>
      <c r="H105" s="337"/>
      <c r="I105" s="62"/>
      <c r="J105" s="62"/>
      <c r="K105" s="62"/>
      <c r="L105" s="62"/>
      <c r="M105" s="62"/>
      <c r="N105" s="62"/>
      <c r="O105" s="62"/>
      <c r="P105" s="11"/>
    </row>
    <row r="106" spans="1:16" ht="15">
      <c r="A106" s="3"/>
      <c r="B106" s="338"/>
      <c r="C106" s="335"/>
      <c r="D106" s="340"/>
      <c r="E106" s="336"/>
      <c r="F106" s="336"/>
      <c r="G106" s="336"/>
      <c r="H106" s="337"/>
      <c r="I106" s="62"/>
      <c r="J106" s="62"/>
      <c r="K106" s="62"/>
      <c r="L106" s="62"/>
      <c r="M106" s="62"/>
      <c r="N106" s="62"/>
      <c r="O106" s="62"/>
      <c r="P106" s="11"/>
    </row>
    <row r="107" spans="1:16" ht="15">
      <c r="A107" s="3"/>
      <c r="B107" s="338" t="s">
        <v>8</v>
      </c>
      <c r="C107" s="335"/>
      <c r="D107" s="340"/>
      <c r="E107" s="336"/>
      <c r="F107" s="336"/>
      <c r="G107" s="336"/>
      <c r="H107" s="337"/>
      <c r="I107" s="62"/>
      <c r="J107" s="62"/>
      <c r="K107" s="62"/>
      <c r="L107" s="62"/>
      <c r="M107" s="62"/>
      <c r="N107" s="62"/>
      <c r="O107" s="62"/>
      <c r="P107" s="11"/>
    </row>
    <row r="108" spans="1:16" ht="15">
      <c r="A108" s="3"/>
      <c r="B108" s="339" t="s">
        <v>49</v>
      </c>
      <c r="C108" s="335"/>
      <c r="D108" s="340"/>
      <c r="E108" s="336"/>
      <c r="F108" s="336"/>
      <c r="G108" s="336"/>
      <c r="H108" s="337"/>
      <c r="I108" s="62"/>
      <c r="J108" s="62"/>
      <c r="K108" s="62"/>
      <c r="L108" s="62"/>
      <c r="M108" s="62"/>
      <c r="N108" s="62"/>
      <c r="O108" s="62"/>
      <c r="P108" s="11"/>
    </row>
    <row r="109" spans="1:16" ht="15">
      <c r="A109" s="3"/>
      <c r="B109" s="339" t="s">
        <v>50</v>
      </c>
      <c r="C109" s="335"/>
      <c r="D109" s="340"/>
      <c r="E109" s="336"/>
      <c r="F109" s="336"/>
      <c r="G109" s="336"/>
      <c r="H109" s="337"/>
      <c r="I109" s="62"/>
      <c r="J109" s="62"/>
      <c r="K109" s="62"/>
      <c r="L109" s="62"/>
      <c r="M109" s="62"/>
      <c r="N109" s="62"/>
      <c r="O109" s="62"/>
      <c r="P109" s="11"/>
    </row>
    <row r="110" spans="1:16" ht="15">
      <c r="A110" s="3"/>
      <c r="B110" s="334"/>
      <c r="C110" s="335"/>
      <c r="D110" s="335"/>
      <c r="E110" s="336"/>
      <c r="F110" s="336"/>
      <c r="G110" s="336"/>
      <c r="H110" s="337"/>
      <c r="I110" s="62"/>
      <c r="J110" s="62"/>
      <c r="K110" s="62"/>
      <c r="L110" s="62"/>
      <c r="M110" s="62"/>
      <c r="N110" s="62"/>
      <c r="O110" s="62"/>
      <c r="P110" s="11"/>
    </row>
    <row r="111" spans="1:16" ht="15">
      <c r="A111" s="3"/>
      <c r="B111" s="338" t="s">
        <v>48</v>
      </c>
      <c r="C111" s="335"/>
      <c r="D111" s="340" t="s">
        <v>51</v>
      </c>
      <c r="E111" s="336"/>
      <c r="F111" s="336"/>
      <c r="G111" s="336"/>
      <c r="H111" s="337"/>
      <c r="I111" s="62"/>
      <c r="J111" s="62"/>
      <c r="K111" s="62"/>
      <c r="L111" s="62"/>
      <c r="M111" s="62"/>
      <c r="N111" s="62"/>
      <c r="O111" s="62"/>
      <c r="P111" s="11"/>
    </row>
    <row r="112" spans="1:16" ht="15">
      <c r="A112" s="3"/>
      <c r="B112" s="338"/>
      <c r="C112" s="335"/>
      <c r="D112" s="340"/>
      <c r="E112" s="336"/>
      <c r="F112" s="336"/>
      <c r="G112" s="336"/>
      <c r="H112" s="337"/>
      <c r="I112" s="62"/>
      <c r="J112" s="62"/>
      <c r="K112" s="62"/>
      <c r="L112" s="62"/>
      <c r="M112" s="62"/>
      <c r="N112" s="62"/>
      <c r="O112" s="62"/>
      <c r="P112" s="11"/>
    </row>
    <row r="113" spans="1:16" ht="15">
      <c r="A113" s="3"/>
      <c r="B113" s="353" t="s">
        <v>46</v>
      </c>
      <c r="C113" s="354"/>
      <c r="D113" s="354"/>
      <c r="E113" s="354"/>
      <c r="F113" s="354"/>
      <c r="G113" s="354"/>
      <c r="H113" s="355"/>
      <c r="I113" s="62"/>
      <c r="J113" s="62"/>
      <c r="K113" s="62"/>
      <c r="L113" s="62"/>
      <c r="M113" s="62"/>
      <c r="N113" s="62"/>
      <c r="O113" s="62"/>
      <c r="P113" s="11"/>
    </row>
    <row r="114" spans="1:16" ht="15">
      <c r="A114" s="3"/>
      <c r="B114" s="356"/>
      <c r="C114" s="354"/>
      <c r="D114" s="354"/>
      <c r="E114" s="354"/>
      <c r="F114" s="354"/>
      <c r="G114" s="354"/>
      <c r="H114" s="355"/>
      <c r="I114" s="62"/>
      <c r="J114" s="62"/>
      <c r="K114" s="62"/>
      <c r="L114" s="62"/>
      <c r="M114" s="62"/>
      <c r="N114" s="62"/>
      <c r="O114" s="62"/>
      <c r="P114" s="11"/>
    </row>
    <row r="115" spans="1:16" ht="15">
      <c r="A115" s="3"/>
      <c r="B115" s="356"/>
      <c r="C115" s="354"/>
      <c r="D115" s="354"/>
      <c r="E115" s="354"/>
      <c r="F115" s="354"/>
      <c r="G115" s="354"/>
      <c r="H115" s="355"/>
      <c r="I115" s="62"/>
      <c r="J115" s="62"/>
      <c r="K115" s="62"/>
      <c r="L115" s="62"/>
      <c r="M115" s="62"/>
      <c r="N115" s="62"/>
      <c r="O115" s="62"/>
      <c r="P115" s="11"/>
    </row>
    <row r="116" spans="1:16" ht="15">
      <c r="A116" s="3"/>
      <c r="B116" s="356" t="s">
        <v>9</v>
      </c>
      <c r="C116" s="354"/>
      <c r="D116" s="354"/>
      <c r="E116" s="354"/>
      <c r="F116" s="354"/>
      <c r="G116" s="354"/>
      <c r="H116" s="355"/>
      <c r="I116" s="62"/>
      <c r="J116" s="62"/>
      <c r="K116" s="62"/>
      <c r="L116" s="62"/>
      <c r="M116" s="62"/>
      <c r="N116" s="62"/>
      <c r="O116" s="62"/>
      <c r="P116" s="11"/>
    </row>
    <row r="117" spans="1:16" ht="15">
      <c r="A117" s="3"/>
      <c r="B117" s="356"/>
      <c r="C117" s="354"/>
      <c r="D117" s="354"/>
      <c r="E117" s="354"/>
      <c r="F117" s="354"/>
      <c r="G117" s="354"/>
      <c r="H117" s="355"/>
      <c r="I117" s="62"/>
      <c r="J117" s="62"/>
      <c r="K117" s="62"/>
      <c r="L117" s="62"/>
      <c r="M117" s="62"/>
      <c r="N117" s="62"/>
      <c r="O117" s="62"/>
      <c r="P117" s="11"/>
    </row>
    <row r="118" spans="1:16" ht="15">
      <c r="A118" s="3"/>
      <c r="B118" s="356"/>
      <c r="C118" s="354"/>
      <c r="D118" s="354"/>
      <c r="E118" s="354"/>
      <c r="F118" s="354"/>
      <c r="G118" s="354"/>
      <c r="H118" s="355"/>
      <c r="I118" s="62"/>
      <c r="J118" s="62"/>
      <c r="K118" s="62"/>
      <c r="L118" s="224"/>
      <c r="M118" s="62"/>
      <c r="N118" s="62"/>
      <c r="O118" s="62"/>
      <c r="P118" s="11"/>
    </row>
    <row r="119" spans="1:16" ht="15">
      <c r="A119" s="3"/>
      <c r="B119" s="305" t="s">
        <v>47</v>
      </c>
      <c r="C119" s="293"/>
      <c r="D119" s="293"/>
      <c r="E119" s="293"/>
      <c r="F119" s="293"/>
      <c r="G119" s="293"/>
      <c r="H119" s="294"/>
      <c r="I119" s="62"/>
      <c r="J119" s="62"/>
      <c r="K119" s="62"/>
      <c r="L119" s="62"/>
      <c r="M119" s="62"/>
      <c r="N119" s="62"/>
      <c r="O119" s="62"/>
      <c r="P119" s="11"/>
    </row>
    <row r="120" spans="1:16" ht="15">
      <c r="A120" s="3"/>
      <c r="B120" s="305"/>
      <c r="C120" s="293"/>
      <c r="D120" s="293"/>
      <c r="E120" s="293"/>
      <c r="F120" s="293"/>
      <c r="G120" s="293"/>
      <c r="H120" s="294"/>
      <c r="I120" s="62"/>
      <c r="J120" s="62"/>
      <c r="K120" s="62"/>
      <c r="L120" s="62"/>
      <c r="M120" s="62"/>
      <c r="N120" s="62"/>
      <c r="O120" s="62"/>
      <c r="P120" s="11"/>
    </row>
    <row r="121" spans="1:16" ht="15">
      <c r="A121" s="3"/>
      <c r="B121" s="357" t="s">
        <v>10</v>
      </c>
      <c r="C121" s="354"/>
      <c r="D121" s="354"/>
      <c r="E121" s="354"/>
      <c r="F121" s="354"/>
      <c r="G121" s="354"/>
      <c r="H121" s="355"/>
      <c r="I121" s="62"/>
      <c r="J121" s="62"/>
      <c r="K121" s="62"/>
      <c r="L121" s="62"/>
      <c r="M121" s="62"/>
      <c r="N121" s="62"/>
      <c r="O121" s="62"/>
      <c r="P121" s="11"/>
    </row>
    <row r="122" spans="1:16" ht="15">
      <c r="A122" s="3"/>
      <c r="B122" s="356"/>
      <c r="C122" s="354"/>
      <c r="D122" s="354"/>
      <c r="E122" s="354"/>
      <c r="F122" s="354"/>
      <c r="G122" s="354"/>
      <c r="H122" s="355"/>
      <c r="I122" s="62"/>
      <c r="J122" s="62"/>
      <c r="K122" s="62"/>
      <c r="L122" s="62"/>
      <c r="M122" s="62"/>
      <c r="N122" s="62"/>
      <c r="O122" s="62"/>
      <c r="P122" s="11"/>
    </row>
    <row r="123" spans="1:16" ht="15.75" thickBot="1">
      <c r="A123" s="3"/>
      <c r="B123" s="358"/>
      <c r="C123" s="359"/>
      <c r="D123" s="359"/>
      <c r="E123" s="359"/>
      <c r="F123" s="359"/>
      <c r="G123" s="359"/>
      <c r="H123" s="360"/>
      <c r="I123" s="62"/>
      <c r="J123" s="62"/>
      <c r="K123" s="62"/>
      <c r="L123" s="62"/>
      <c r="M123" s="62"/>
      <c r="N123" s="62"/>
      <c r="O123" s="62"/>
      <c r="P123" s="11"/>
    </row>
    <row r="124" spans="1:16" ht="15">
      <c r="A124" s="3"/>
      <c r="B124" s="221"/>
      <c r="C124" s="221"/>
      <c r="D124" s="220"/>
      <c r="E124" s="221"/>
      <c r="F124" s="221"/>
      <c r="G124" s="221"/>
      <c r="H124" s="221"/>
      <c r="I124" s="62"/>
      <c r="J124" s="62"/>
      <c r="K124" s="62"/>
      <c r="L124" s="62"/>
      <c r="M124" s="62"/>
      <c r="N124" s="62"/>
      <c r="O124" s="62"/>
      <c r="P124" s="11"/>
    </row>
    <row r="125" spans="1:16" ht="15.75" thickBot="1">
      <c r="A125" s="3"/>
      <c r="B125" s="179"/>
      <c r="C125" s="11"/>
      <c r="D125" s="11"/>
      <c r="E125" s="62"/>
      <c r="F125" s="62"/>
      <c r="G125" s="62"/>
      <c r="H125" s="62"/>
      <c r="I125" s="62"/>
      <c r="J125" s="62"/>
      <c r="K125" s="62"/>
      <c r="L125" s="62"/>
      <c r="M125" s="62"/>
      <c r="N125" s="62"/>
      <c r="O125" s="62"/>
      <c r="P125" s="11"/>
    </row>
    <row r="126" spans="1:16" ht="15.75" thickBot="1">
      <c r="A126" s="3"/>
      <c r="B126" s="3"/>
      <c r="C126" s="11"/>
      <c r="D126" s="11"/>
      <c r="E126" s="62"/>
      <c r="F126" s="62"/>
      <c r="G126" s="367" t="s">
        <v>14</v>
      </c>
      <c r="H126" s="368"/>
      <c r="I126" s="374" t="s">
        <v>15</v>
      </c>
      <c r="J126" s="375"/>
      <c r="K126" s="364" t="s">
        <v>16</v>
      </c>
      <c r="L126" s="365"/>
      <c r="M126" s="372" t="s">
        <v>17</v>
      </c>
      <c r="N126" s="373"/>
      <c r="O126" s="62"/>
      <c r="P126" s="11"/>
    </row>
    <row r="127" spans="1:14" ht="15">
      <c r="A127" s="3"/>
      <c r="B127" s="3"/>
      <c r="C127" s="123"/>
      <c r="D127" s="136"/>
      <c r="E127" s="329" t="s">
        <v>57</v>
      </c>
      <c r="F127" s="81" t="s">
        <v>59</v>
      </c>
      <c r="G127" s="153">
        <v>5</v>
      </c>
      <c r="H127" s="63" t="s">
        <v>59</v>
      </c>
      <c r="I127" s="153">
        <v>7</v>
      </c>
      <c r="J127" s="225" t="s">
        <v>59</v>
      </c>
      <c r="K127" s="154">
        <v>9</v>
      </c>
      <c r="L127" s="192" t="s">
        <v>59</v>
      </c>
      <c r="M127" s="154">
        <v>11</v>
      </c>
      <c r="N127" s="318" t="s">
        <v>59</v>
      </c>
    </row>
    <row r="128" spans="1:14" ht="15.75">
      <c r="A128" s="3"/>
      <c r="B128" s="3"/>
      <c r="C128" s="222" t="s">
        <v>61</v>
      </c>
      <c r="D128" s="149"/>
      <c r="E128" s="82" t="str">
        <f>+E127</f>
        <v>na</v>
      </c>
      <c r="F128" s="83" t="s">
        <v>62</v>
      </c>
      <c r="G128" s="84">
        <f>VLOOKUP(G127,B176:K190,2)</f>
        <v>5000000</v>
      </c>
      <c r="H128" s="64" t="s">
        <v>62</v>
      </c>
      <c r="I128" s="226">
        <f>VLOOKUP(I127,B196:K210,2)</f>
        <v>7000000</v>
      </c>
      <c r="J128" s="227" t="s">
        <v>62</v>
      </c>
      <c r="K128" s="193">
        <f>VLOOKUP(K127,B216:K235,2)</f>
        <v>45000000</v>
      </c>
      <c r="L128" s="194" t="s">
        <v>62</v>
      </c>
      <c r="M128" s="205">
        <f>IF(M127=0,0,VLOOKUP(M127,B241:K265,2))</f>
        <v>55000000</v>
      </c>
      <c r="N128" s="319" t="s">
        <v>62</v>
      </c>
    </row>
    <row r="129" spans="1:14" ht="15.75" thickBot="1">
      <c r="A129" s="3"/>
      <c r="B129" s="3"/>
      <c r="C129" s="124"/>
      <c r="D129" s="141"/>
      <c r="E129" s="85" t="str">
        <f>+E127</f>
        <v>na</v>
      </c>
      <c r="F129" s="86" t="s">
        <v>64</v>
      </c>
      <c r="G129" s="87">
        <f>VLOOKUP(G127,B176:K190,3)</f>
        <v>6000000</v>
      </c>
      <c r="H129" s="66" t="s">
        <v>64</v>
      </c>
      <c r="I129" s="228">
        <f>VLOOKUP(I127,B196:K210,3)</f>
        <v>9000000</v>
      </c>
      <c r="J129" s="229" t="s">
        <v>64</v>
      </c>
      <c r="K129" s="195">
        <f>VLOOKUP(K127,B216:K235,3)</f>
        <v>50000000</v>
      </c>
      <c r="L129" s="196" t="s">
        <v>64</v>
      </c>
      <c r="M129" s="206">
        <f>IF(M127=0,0,VLOOKUP(M127,B241:K265,3))</f>
        <v>63000000</v>
      </c>
      <c r="N129" s="320" t="s">
        <v>64</v>
      </c>
    </row>
    <row r="130" spans="1:14" ht="15.75" thickBot="1">
      <c r="A130" s="3"/>
      <c r="B130" s="3"/>
      <c r="C130" s="14" t="s">
        <v>65</v>
      </c>
      <c r="D130" s="15"/>
      <c r="E130" s="67"/>
      <c r="F130" s="67"/>
      <c r="G130" s="68" t="s">
        <v>55</v>
      </c>
      <c r="H130" s="67"/>
      <c r="I130" s="68" t="s">
        <v>55</v>
      </c>
      <c r="J130" s="67"/>
      <c r="K130" s="68" t="s">
        <v>55</v>
      </c>
      <c r="L130" s="67"/>
      <c r="M130" s="68" t="s">
        <v>55</v>
      </c>
      <c r="N130" s="321"/>
    </row>
    <row r="131" spans="1:14" ht="15">
      <c r="A131" s="3"/>
      <c r="B131" s="3"/>
      <c r="C131" s="123" t="s">
        <v>66</v>
      </c>
      <c r="D131" s="136"/>
      <c r="E131" s="143" t="s">
        <v>67</v>
      </c>
      <c r="F131" s="69" t="s">
        <v>68</v>
      </c>
      <c r="G131" s="70" t="s">
        <v>67</v>
      </c>
      <c r="H131" s="71" t="s">
        <v>68</v>
      </c>
      <c r="I131" s="230" t="s">
        <v>67</v>
      </c>
      <c r="J131" s="231" t="s">
        <v>68</v>
      </c>
      <c r="K131" s="197" t="s">
        <v>67</v>
      </c>
      <c r="L131" s="198" t="s">
        <v>68</v>
      </c>
      <c r="M131" s="207" t="s">
        <v>67</v>
      </c>
      <c r="N131" s="322" t="s">
        <v>68</v>
      </c>
    </row>
    <row r="132" spans="1:14" ht="15">
      <c r="A132" s="3"/>
      <c r="B132" s="3"/>
      <c r="C132" s="125"/>
      <c r="D132" s="137"/>
      <c r="E132" s="144" t="s">
        <v>70</v>
      </c>
      <c r="F132" s="73" t="s">
        <v>71</v>
      </c>
      <c r="G132" s="74" t="s">
        <v>70</v>
      </c>
      <c r="H132" s="75" t="s">
        <v>71</v>
      </c>
      <c r="I132" s="232" t="s">
        <v>70</v>
      </c>
      <c r="J132" s="233" t="s">
        <v>71</v>
      </c>
      <c r="K132" s="199" t="s">
        <v>70</v>
      </c>
      <c r="L132" s="200" t="s">
        <v>71</v>
      </c>
      <c r="M132" s="208" t="s">
        <v>70</v>
      </c>
      <c r="N132" s="323" t="s">
        <v>71</v>
      </c>
    </row>
    <row r="133" spans="1:14" ht="15">
      <c r="A133" s="3"/>
      <c r="B133" s="3"/>
      <c r="C133" s="126" t="s">
        <v>73</v>
      </c>
      <c r="D133" s="149"/>
      <c r="E133" s="145">
        <f>SUM(1-E134-E136)</f>
        <v>0.9299999999999999</v>
      </c>
      <c r="F133" s="89" t="s">
        <v>57</v>
      </c>
      <c r="G133" s="88">
        <f>+I193</f>
        <v>0.775</v>
      </c>
      <c r="H133" s="90">
        <f aca="true" t="shared" si="1" ref="H133:H141">SUM(G133*G$129)/1000000</f>
        <v>4.65</v>
      </c>
      <c r="I133" s="101">
        <f>+I213</f>
        <v>0.6027777777777779</v>
      </c>
      <c r="J133" s="90">
        <f aca="true" t="shared" si="2" ref="J133:J141">SUM(I133*I$129)/1000000</f>
        <v>5.425000000000001</v>
      </c>
      <c r="K133" s="91">
        <f>+I238</f>
        <v>0.5425000000000001</v>
      </c>
      <c r="L133" s="90">
        <f aca="true" t="shared" si="3" ref="L133:L141">SUM(K133*K$129)/1000000</f>
        <v>27.125000000000004</v>
      </c>
      <c r="M133" s="101">
        <f>IF(M127=0,+K133,VLOOKUP(M127,B241:K265,8))</f>
        <v>0.4736111111111112</v>
      </c>
      <c r="N133" s="324">
        <f aca="true" t="shared" si="4" ref="N133:N141">SUM(M133*M$129)/1000000</f>
        <v>29.837500000000006</v>
      </c>
    </row>
    <row r="134" spans="1:14" ht="15">
      <c r="A134" s="3"/>
      <c r="B134" s="3"/>
      <c r="C134" s="127" t="s">
        <v>74</v>
      </c>
      <c r="D134" s="150">
        <v>5</v>
      </c>
      <c r="E134" s="152">
        <v>0.05</v>
      </c>
      <c r="F134" s="92" t="s">
        <v>57</v>
      </c>
      <c r="G134" s="93">
        <f>+J193</f>
        <v>0.04166666666666667</v>
      </c>
      <c r="H134" s="94">
        <f t="shared" si="1"/>
        <v>0.25000000000000006</v>
      </c>
      <c r="I134" s="102">
        <f>+J213</f>
        <v>0.03240740740740741</v>
      </c>
      <c r="J134" s="94">
        <f t="shared" si="2"/>
        <v>0.2916666666666667</v>
      </c>
      <c r="K134" s="95">
        <f>+J238</f>
        <v>0.02916666666666667</v>
      </c>
      <c r="L134" s="94">
        <f t="shared" si="3"/>
        <v>1.4583333333333335</v>
      </c>
      <c r="M134" s="102">
        <f>IF(M127=0,+K134,VLOOKUP(M127,B241:K265,9))</f>
        <v>0.025462962962962965</v>
      </c>
      <c r="N134" s="115">
        <f t="shared" si="4"/>
        <v>1.6041666666666667</v>
      </c>
    </row>
    <row r="135" spans="1:14" ht="15">
      <c r="A135" s="3"/>
      <c r="B135" s="3"/>
      <c r="C135" s="128" t="s">
        <v>75</v>
      </c>
      <c r="D135" s="151"/>
      <c r="E135" s="146">
        <f>SUM(E134/D134)</f>
        <v>0.01</v>
      </c>
      <c r="F135" s="92" t="s">
        <v>57</v>
      </c>
      <c r="G135" s="96">
        <f>SUM(G134/D134)</f>
        <v>0.008333333333333335</v>
      </c>
      <c r="H135" s="92">
        <f t="shared" si="1"/>
        <v>0.05000000000000001</v>
      </c>
      <c r="I135" s="103">
        <f>SUM(I134/D134)</f>
        <v>0.006481481481481482</v>
      </c>
      <c r="J135" s="92">
        <f t="shared" si="2"/>
        <v>0.05833333333333334</v>
      </c>
      <c r="K135" s="97">
        <f>SUM(K134/D134)</f>
        <v>0.0058333333333333345</v>
      </c>
      <c r="L135" s="92">
        <f t="shared" si="3"/>
        <v>0.29166666666666674</v>
      </c>
      <c r="M135" s="103">
        <f>SUM(M134/D134)</f>
        <v>0.005092592592592593</v>
      </c>
      <c r="N135" s="325">
        <f t="shared" si="4"/>
        <v>0.32083333333333336</v>
      </c>
    </row>
    <row r="136" spans="1:14" ht="15">
      <c r="A136" s="3"/>
      <c r="B136" s="3"/>
      <c r="C136" s="127" t="s">
        <v>76</v>
      </c>
      <c r="D136" s="140"/>
      <c r="E136" s="152">
        <v>0.02</v>
      </c>
      <c r="F136" s="92" t="s">
        <v>57</v>
      </c>
      <c r="G136" s="93">
        <f>SUM(K193)</f>
        <v>0.016666666666666666</v>
      </c>
      <c r="H136" s="94">
        <f t="shared" si="1"/>
        <v>0.1</v>
      </c>
      <c r="I136" s="102">
        <f>+K213</f>
        <v>0.012962962962962963</v>
      </c>
      <c r="J136" s="94">
        <f t="shared" si="2"/>
        <v>0.11666666666666665</v>
      </c>
      <c r="K136" s="95">
        <f>+K238</f>
        <v>0.011666666666666667</v>
      </c>
      <c r="L136" s="94">
        <f t="shared" si="3"/>
        <v>0.5833333333333334</v>
      </c>
      <c r="M136" s="102">
        <f>IF(M127=0,K136,VLOOKUP(M127,B241:K265,10))</f>
        <v>0.010185185185185186</v>
      </c>
      <c r="N136" s="115">
        <f t="shared" si="4"/>
        <v>0.6416666666666667</v>
      </c>
    </row>
    <row r="137" spans="1:14" ht="15">
      <c r="A137" s="3"/>
      <c r="B137" s="3"/>
      <c r="C137" s="127" t="s">
        <v>18</v>
      </c>
      <c r="D137" s="140"/>
      <c r="E137" s="147"/>
      <c r="F137" s="92" t="s">
        <v>57</v>
      </c>
      <c r="G137" s="93">
        <f>SUM(E193)</f>
        <v>0.16666666666666666</v>
      </c>
      <c r="H137" s="94">
        <f t="shared" si="1"/>
        <v>1</v>
      </c>
      <c r="I137" s="102">
        <f>+E213</f>
        <v>0.12962962962962962</v>
      </c>
      <c r="J137" s="94">
        <f t="shared" si="2"/>
        <v>1.1666666666666665</v>
      </c>
      <c r="K137" s="95">
        <f>+E238</f>
        <v>0.11666666666666667</v>
      </c>
      <c r="L137" s="94">
        <f t="shared" si="3"/>
        <v>5.833333333333333</v>
      </c>
      <c r="M137" s="102">
        <f>IF(M127=0,+K137,VLOOKUP(M127,B241:K265,4))</f>
        <v>0.10185185185185186</v>
      </c>
      <c r="N137" s="115">
        <f t="shared" si="4"/>
        <v>6.416666666666667</v>
      </c>
    </row>
    <row r="138" spans="1:14" ht="15">
      <c r="A138" s="3"/>
      <c r="B138" s="3"/>
      <c r="C138" s="127" t="s">
        <v>19</v>
      </c>
      <c r="D138" s="140"/>
      <c r="E138" s="147"/>
      <c r="F138" s="92" t="s">
        <v>57</v>
      </c>
      <c r="G138" s="93"/>
      <c r="H138" s="94">
        <f t="shared" si="1"/>
        <v>0</v>
      </c>
      <c r="I138" s="102">
        <f>+F213</f>
        <v>0.2222222222222222</v>
      </c>
      <c r="J138" s="94">
        <f t="shared" si="2"/>
        <v>2</v>
      </c>
      <c r="K138" s="95">
        <f>+F238</f>
        <v>0.19999999999999998</v>
      </c>
      <c r="L138" s="94">
        <f t="shared" si="3"/>
        <v>10</v>
      </c>
      <c r="M138" s="102">
        <f>IF(M127=0,+K138,VLOOKUP(M127,B241:K265,5))</f>
        <v>0.1746031746031746</v>
      </c>
      <c r="N138" s="115">
        <f t="shared" si="4"/>
        <v>11</v>
      </c>
    </row>
    <row r="139" spans="1:14" ht="15">
      <c r="A139" s="3"/>
      <c r="B139" s="3"/>
      <c r="C139" s="127" t="s">
        <v>20</v>
      </c>
      <c r="D139" s="140"/>
      <c r="E139" s="147"/>
      <c r="F139" s="92" t="s">
        <v>57</v>
      </c>
      <c r="G139" s="93"/>
      <c r="H139" s="94">
        <f t="shared" si="1"/>
        <v>0</v>
      </c>
      <c r="I139" s="102"/>
      <c r="J139" s="94">
        <f t="shared" si="2"/>
        <v>0</v>
      </c>
      <c r="K139" s="95">
        <f>+G238</f>
        <v>0.1</v>
      </c>
      <c r="L139" s="94">
        <f t="shared" si="3"/>
        <v>5</v>
      </c>
      <c r="M139" s="102">
        <f>IF(M127=0,+K139,VLOOKUP(M127,B241:K265,6))</f>
        <v>0.08730158730158731</v>
      </c>
      <c r="N139" s="115">
        <f t="shared" si="4"/>
        <v>5.500000000000001</v>
      </c>
    </row>
    <row r="140" spans="1:14" ht="15">
      <c r="A140" s="3"/>
      <c r="B140" s="3"/>
      <c r="C140" s="127" t="s">
        <v>11</v>
      </c>
      <c r="D140" s="140"/>
      <c r="E140" s="147"/>
      <c r="F140" s="92" t="s">
        <v>57</v>
      </c>
      <c r="G140" s="93"/>
      <c r="H140" s="94">
        <f t="shared" si="1"/>
        <v>0</v>
      </c>
      <c r="I140" s="102"/>
      <c r="J140" s="94">
        <f t="shared" si="2"/>
        <v>0</v>
      </c>
      <c r="K140" s="95"/>
      <c r="L140" s="94">
        <f t="shared" si="3"/>
        <v>0</v>
      </c>
      <c r="M140" s="102">
        <f>IF(M127=0,+K140,VLOOKUP(M127,B241:K265,7))</f>
        <v>0.12698412698412698</v>
      </c>
      <c r="N140" s="115">
        <f t="shared" si="4"/>
        <v>8</v>
      </c>
    </row>
    <row r="141" spans="1:14" ht="15.75" thickBot="1">
      <c r="A141" s="3"/>
      <c r="B141" s="3"/>
      <c r="C141" s="129" t="s">
        <v>78</v>
      </c>
      <c r="D141" s="141"/>
      <c r="E141" s="148">
        <f>SUM(E133+E134+E136+E137+E138+E139+E140)</f>
        <v>1</v>
      </c>
      <c r="F141" s="99" t="s">
        <v>57</v>
      </c>
      <c r="G141" s="98">
        <f>SUM(G133+G134+G136+G137+G138+G139+G140)</f>
        <v>1</v>
      </c>
      <c r="H141" s="100">
        <f t="shared" si="1"/>
        <v>6</v>
      </c>
      <c r="I141" s="98">
        <f>SUM(I133+I134+I136+I137+I138+I139+I140)</f>
        <v>1</v>
      </c>
      <c r="J141" s="100">
        <f t="shared" si="2"/>
        <v>9</v>
      </c>
      <c r="K141" s="98">
        <f>SUM(K133+K134+K136+K137+K138+K139+K140)</f>
        <v>1.0000000000000002</v>
      </c>
      <c r="L141" s="100">
        <f t="shared" si="3"/>
        <v>50.00000000000001</v>
      </c>
      <c r="M141" s="98">
        <f>SUM(M133+M134+M136+M137+M138+M139+M140)</f>
        <v>1</v>
      </c>
      <c r="N141" s="119">
        <f t="shared" si="4"/>
        <v>63</v>
      </c>
    </row>
    <row r="142" spans="1:16" ht="15">
      <c r="A142" s="3"/>
      <c r="B142" s="3"/>
      <c r="C142" s="310"/>
      <c r="D142" s="311"/>
      <c r="E142" s="312"/>
      <c r="F142" s="313"/>
      <c r="G142" s="312"/>
      <c r="H142" s="314"/>
      <c r="I142" s="312"/>
      <c r="J142" s="314"/>
      <c r="K142" s="312"/>
      <c r="L142" s="314"/>
      <c r="M142" s="312"/>
      <c r="N142" s="314"/>
      <c r="O142" s="315"/>
      <c r="P142" s="11"/>
    </row>
    <row r="143" spans="1:16" ht="15.75" thickBot="1">
      <c r="A143" s="3"/>
      <c r="B143" s="3"/>
      <c r="F143" s="317"/>
      <c r="G143" s="317"/>
      <c r="H143" s="317"/>
      <c r="I143" s="312"/>
      <c r="J143" s="314"/>
      <c r="K143" s="312"/>
      <c r="L143" s="314"/>
      <c r="M143" s="312"/>
      <c r="N143" s="314"/>
      <c r="O143" s="315"/>
      <c r="P143" s="11"/>
    </row>
    <row r="144" spans="1:16" ht="15">
      <c r="A144" s="3"/>
      <c r="B144" s="3"/>
      <c r="C144" s="123"/>
      <c r="D144" s="136"/>
      <c r="E144" s="316" t="s">
        <v>60</v>
      </c>
      <c r="F144" s="11"/>
      <c r="G144" s="11"/>
      <c r="H144" s="317"/>
      <c r="I144" s="312"/>
      <c r="J144" s="314"/>
      <c r="K144" s="312"/>
      <c r="L144" s="314"/>
      <c r="M144" s="312"/>
      <c r="N144" s="314"/>
      <c r="O144" s="315"/>
      <c r="P144" s="11"/>
    </row>
    <row r="145" spans="1:16" ht="15.75">
      <c r="A145" s="3"/>
      <c r="B145" s="3"/>
      <c r="C145" s="222" t="s">
        <v>61</v>
      </c>
      <c r="D145" s="149"/>
      <c r="E145" s="65" t="s">
        <v>63</v>
      </c>
      <c r="F145" s="13"/>
      <c r="G145" s="11"/>
      <c r="H145" s="317"/>
      <c r="I145" s="312"/>
      <c r="J145" s="314"/>
      <c r="K145" s="312"/>
      <c r="L145" s="314"/>
      <c r="M145" s="312"/>
      <c r="N145" s="314"/>
      <c r="O145" s="315"/>
      <c r="P145" s="11"/>
    </row>
    <row r="146" spans="1:16" ht="15.75" thickBot="1">
      <c r="A146" s="3"/>
      <c r="B146" s="3"/>
      <c r="C146" s="124"/>
      <c r="D146" s="327"/>
      <c r="E146" s="328">
        <v>200000000</v>
      </c>
      <c r="F146" s="11"/>
      <c r="G146" s="11"/>
      <c r="H146" s="317"/>
      <c r="I146" s="312"/>
      <c r="J146" s="314"/>
      <c r="K146" s="312"/>
      <c r="L146" s="314"/>
      <c r="M146" s="312"/>
      <c r="N146" s="314"/>
      <c r="O146" s="315"/>
      <c r="P146" s="11"/>
    </row>
    <row r="147" spans="1:16" ht="15">
      <c r="A147" s="3"/>
      <c r="B147" s="3"/>
      <c r="C147" s="344"/>
      <c r="D147" s="136"/>
      <c r="E147" s="72" t="s">
        <v>69</v>
      </c>
      <c r="F147" s="11"/>
      <c r="G147" s="11"/>
      <c r="H147" s="317"/>
      <c r="I147" s="312"/>
      <c r="J147" s="314"/>
      <c r="K147" s="312"/>
      <c r="L147" s="314"/>
      <c r="M147" s="312"/>
      <c r="N147" s="314"/>
      <c r="O147" s="315"/>
      <c r="P147" s="11"/>
    </row>
    <row r="148" spans="1:16" ht="15.75" thickBot="1">
      <c r="A148" s="3"/>
      <c r="B148" s="3"/>
      <c r="C148" s="129" t="s">
        <v>66</v>
      </c>
      <c r="D148" s="141"/>
      <c r="E148" s="76" t="s">
        <v>72</v>
      </c>
      <c r="F148" s="11"/>
      <c r="G148" s="11"/>
      <c r="H148" s="317"/>
      <c r="I148" s="312"/>
      <c r="J148" s="314"/>
      <c r="K148" s="312"/>
      <c r="L148" s="314"/>
      <c r="M148" s="312"/>
      <c r="N148" s="314"/>
      <c r="O148" s="315"/>
      <c r="P148" s="11"/>
    </row>
    <row r="149" spans="1:16" ht="15">
      <c r="A149" s="3"/>
      <c r="B149" s="3"/>
      <c r="C149" s="126" t="s">
        <v>73</v>
      </c>
      <c r="D149" s="149"/>
      <c r="E149" s="77">
        <f aca="true" t="shared" si="5" ref="E149:E157">SUM($E$146*M133)/1000000</f>
        <v>94.72222222222224</v>
      </c>
      <c r="F149" s="11"/>
      <c r="G149" s="11"/>
      <c r="H149" s="317"/>
      <c r="I149" s="312"/>
      <c r="J149" s="314"/>
      <c r="K149" s="312"/>
      <c r="L149" s="314"/>
      <c r="M149" s="312"/>
      <c r="N149" s="314"/>
      <c r="O149" s="315"/>
      <c r="P149" s="11"/>
    </row>
    <row r="150" spans="1:16" ht="15">
      <c r="A150" s="3"/>
      <c r="B150" s="3"/>
      <c r="C150" s="127" t="s">
        <v>74</v>
      </c>
      <c r="D150" s="150">
        <v>5</v>
      </c>
      <c r="E150" s="77">
        <f t="shared" si="5"/>
        <v>5.0925925925925934</v>
      </c>
      <c r="F150" s="11"/>
      <c r="G150" s="11"/>
      <c r="H150" s="317"/>
      <c r="I150" s="312"/>
      <c r="J150" s="314"/>
      <c r="K150" s="312"/>
      <c r="L150" s="314"/>
      <c r="M150" s="312"/>
      <c r="N150" s="314"/>
      <c r="O150" s="315"/>
      <c r="P150" s="11"/>
    </row>
    <row r="151" spans="1:16" ht="15.75" thickBot="1">
      <c r="A151" s="3"/>
      <c r="B151" s="3"/>
      <c r="C151" s="128" t="s">
        <v>75</v>
      </c>
      <c r="D151" s="151"/>
      <c r="E151" s="77">
        <f t="shared" si="5"/>
        <v>1.0185185185185186</v>
      </c>
      <c r="F151" s="11"/>
      <c r="G151" s="11"/>
      <c r="H151" s="317"/>
      <c r="I151" s="312"/>
      <c r="J151" s="314"/>
      <c r="K151" s="312"/>
      <c r="L151" s="314"/>
      <c r="M151" s="312"/>
      <c r="N151" s="314"/>
      <c r="O151" s="315"/>
      <c r="P151" s="11"/>
    </row>
    <row r="152" spans="1:16" ht="15">
      <c r="A152" s="3"/>
      <c r="B152" s="3"/>
      <c r="C152" s="127" t="s">
        <v>76</v>
      </c>
      <c r="D152" s="140"/>
      <c r="E152" s="77">
        <f t="shared" si="5"/>
        <v>2.037037037037037</v>
      </c>
      <c r="F152" s="22" t="s">
        <v>77</v>
      </c>
      <c r="G152" s="11"/>
      <c r="H152" s="317"/>
      <c r="I152" s="312"/>
      <c r="J152" s="314"/>
      <c r="K152" s="312"/>
      <c r="L152" s="314"/>
      <c r="M152" s="312"/>
      <c r="N152" s="314"/>
      <c r="O152" s="315"/>
      <c r="P152" s="11"/>
    </row>
    <row r="153" spans="1:16" ht="15">
      <c r="A153" s="3"/>
      <c r="B153" s="3"/>
      <c r="C153" s="127" t="s">
        <v>18</v>
      </c>
      <c r="D153" s="140"/>
      <c r="E153" s="77">
        <f t="shared" si="5"/>
        <v>20.370370370370374</v>
      </c>
      <c r="F153" s="23">
        <f>SUM(E153/(G85/1000000))</f>
        <v>20.370370370370374</v>
      </c>
      <c r="G153" s="11"/>
      <c r="H153" s="317"/>
      <c r="I153" s="312"/>
      <c r="J153" s="314"/>
      <c r="K153" s="312"/>
      <c r="L153" s="314"/>
      <c r="M153" s="312"/>
      <c r="N153" s="314"/>
      <c r="O153" s="315"/>
      <c r="P153" s="11"/>
    </row>
    <row r="154" spans="1:16" ht="15">
      <c r="A154" s="3"/>
      <c r="B154" s="3"/>
      <c r="C154" s="127" t="s">
        <v>19</v>
      </c>
      <c r="D154" s="140"/>
      <c r="E154" s="77">
        <f t="shared" si="5"/>
        <v>34.92063492063492</v>
      </c>
      <c r="F154" s="23">
        <f>SUM(E154/(I85/1000000))</f>
        <v>17.46031746031746</v>
      </c>
      <c r="G154" s="11"/>
      <c r="H154" s="317"/>
      <c r="I154" s="312"/>
      <c r="J154" s="314"/>
      <c r="K154" s="312"/>
      <c r="L154" s="314"/>
      <c r="M154" s="312"/>
      <c r="N154" s="314"/>
      <c r="O154" s="315"/>
      <c r="P154" s="11"/>
    </row>
    <row r="155" spans="1:16" ht="15">
      <c r="A155" s="3"/>
      <c r="B155" s="3"/>
      <c r="C155" s="127" t="str">
        <f>+C139</f>
        <v>     Series C</v>
      </c>
      <c r="D155" s="140"/>
      <c r="E155" s="77">
        <f t="shared" si="5"/>
        <v>17.460317460317462</v>
      </c>
      <c r="F155" s="23">
        <f>SUM(E155/(K85/1000000))</f>
        <v>3.4920634920634925</v>
      </c>
      <c r="G155" s="11"/>
      <c r="H155" s="317"/>
      <c r="I155" s="317"/>
      <c r="J155" s="317"/>
      <c r="K155" s="317"/>
      <c r="L155" s="317"/>
      <c r="M155" s="317"/>
      <c r="N155" s="317"/>
      <c r="O155" s="317"/>
      <c r="P155" s="11"/>
    </row>
    <row r="156" spans="1:16" ht="15.75" thickBot="1">
      <c r="A156" s="3"/>
      <c r="B156" s="3"/>
      <c r="C156" s="127" t="str">
        <f>+C140</f>
        <v>     Series D</v>
      </c>
      <c r="D156" s="140"/>
      <c r="E156" s="77">
        <f t="shared" si="5"/>
        <v>25.396825396825395</v>
      </c>
      <c r="F156" s="24">
        <f>SUM(E156/(M85/1000000))</f>
        <v>3.1746031746031744</v>
      </c>
      <c r="G156" s="11"/>
      <c r="H156" s="11"/>
      <c r="I156" s="11"/>
      <c r="J156" s="11"/>
      <c r="K156" s="11"/>
      <c r="L156" s="11"/>
      <c r="M156" s="11"/>
      <c r="N156" s="11"/>
      <c r="O156" s="11"/>
      <c r="P156" s="11"/>
    </row>
    <row r="157" spans="1:16" ht="15.75" thickBot="1">
      <c r="A157" s="3"/>
      <c r="B157" s="3"/>
      <c r="C157" s="129" t="s">
        <v>78</v>
      </c>
      <c r="D157" s="141"/>
      <c r="E157" s="78">
        <f t="shared" si="5"/>
        <v>200</v>
      </c>
      <c r="F157" s="11"/>
      <c r="G157" s="11"/>
      <c r="H157" s="11"/>
      <c r="I157" s="11"/>
      <c r="J157" s="11"/>
      <c r="K157" s="11"/>
      <c r="L157" s="11"/>
      <c r="M157" s="11"/>
      <c r="N157" s="11"/>
      <c r="O157" s="11"/>
      <c r="P157" s="11"/>
    </row>
    <row r="158" spans="1:16" ht="15.75" thickBot="1">
      <c r="A158" s="3"/>
      <c r="B158" s="3"/>
      <c r="C158" s="310"/>
      <c r="D158" s="311"/>
      <c r="E158" s="326"/>
      <c r="F158" s="11"/>
      <c r="G158" s="11"/>
      <c r="H158" s="11"/>
      <c r="I158" s="11"/>
      <c r="J158" s="11"/>
      <c r="K158" s="11"/>
      <c r="L158" s="11"/>
      <c r="M158" s="11"/>
      <c r="N158" s="11"/>
      <c r="O158" s="11"/>
      <c r="P158" s="11"/>
    </row>
    <row r="159" spans="1:16" ht="15.75" thickBot="1">
      <c r="A159" s="3"/>
      <c r="B159" s="3"/>
      <c r="C159" s="11"/>
      <c r="D159" s="11"/>
      <c r="E159" s="11"/>
      <c r="F159" s="11"/>
      <c r="G159" s="367" t="s">
        <v>14</v>
      </c>
      <c r="H159" s="368"/>
      <c r="I159" s="374" t="s">
        <v>15</v>
      </c>
      <c r="J159" s="375"/>
      <c r="K159" s="364" t="s">
        <v>16</v>
      </c>
      <c r="L159" s="365"/>
      <c r="M159" s="372" t="s">
        <v>17</v>
      </c>
      <c r="N159" s="373"/>
      <c r="O159" s="11"/>
      <c r="P159" s="11"/>
    </row>
    <row r="160" spans="1:16" ht="15.75">
      <c r="A160" s="3"/>
      <c r="B160" s="3"/>
      <c r="C160" s="223" t="s">
        <v>79</v>
      </c>
      <c r="D160" s="136"/>
      <c r="E160" s="131" t="s">
        <v>79</v>
      </c>
      <c r="F160" s="16" t="s">
        <v>63</v>
      </c>
      <c r="G160" s="17" t="s">
        <v>79</v>
      </c>
      <c r="H160" s="18" t="s">
        <v>80</v>
      </c>
      <c r="I160" s="234" t="s">
        <v>79</v>
      </c>
      <c r="J160" s="235" t="s">
        <v>80</v>
      </c>
      <c r="K160" s="201" t="s">
        <v>79</v>
      </c>
      <c r="L160" s="202" t="s">
        <v>80</v>
      </c>
      <c r="M160" s="209" t="s">
        <v>79</v>
      </c>
      <c r="N160" s="210" t="s">
        <v>80</v>
      </c>
      <c r="O160" s="11"/>
      <c r="P160" s="11"/>
    </row>
    <row r="161" spans="1:16" ht="15">
      <c r="A161" s="3"/>
      <c r="B161" s="3"/>
      <c r="C161" s="125"/>
      <c r="D161" s="137"/>
      <c r="E161" s="132" t="s">
        <v>81</v>
      </c>
      <c r="F161" s="19" t="s">
        <v>82</v>
      </c>
      <c r="G161" s="20" t="s">
        <v>81</v>
      </c>
      <c r="H161" s="21" t="s">
        <v>83</v>
      </c>
      <c r="I161" s="236" t="s">
        <v>81</v>
      </c>
      <c r="J161" s="237" t="s">
        <v>83</v>
      </c>
      <c r="K161" s="203" t="s">
        <v>81</v>
      </c>
      <c r="L161" s="204" t="s">
        <v>83</v>
      </c>
      <c r="M161" s="211" t="s">
        <v>81</v>
      </c>
      <c r="N161" s="212" t="s">
        <v>83</v>
      </c>
      <c r="O161" s="11"/>
      <c r="P161" s="11"/>
    </row>
    <row r="162" spans="1:16" ht="15">
      <c r="A162" s="3"/>
      <c r="B162" s="3"/>
      <c r="C162" s="126" t="s">
        <v>73</v>
      </c>
      <c r="D162" s="138"/>
      <c r="E162" s="133">
        <f>+E133*E169</f>
        <v>929999.9999999999</v>
      </c>
      <c r="F162" s="89" t="s">
        <v>57</v>
      </c>
      <c r="G162" s="104">
        <f>+E162</f>
        <v>929999.9999999999</v>
      </c>
      <c r="H162" s="105" t="s">
        <v>55</v>
      </c>
      <c r="I162" s="106">
        <f>+G162</f>
        <v>929999.9999999999</v>
      </c>
      <c r="J162" s="90" t="s">
        <v>55</v>
      </c>
      <c r="K162" s="107">
        <f>+I162</f>
        <v>929999.9999999999</v>
      </c>
      <c r="L162" s="90" t="s">
        <v>55</v>
      </c>
      <c r="M162" s="106">
        <f>SUM(M169*M133)</f>
        <v>118095.2380952381</v>
      </c>
      <c r="N162" s="108" t="s">
        <v>55</v>
      </c>
      <c r="O162" s="11"/>
      <c r="P162" s="11"/>
    </row>
    <row r="163" spans="1:16" ht="15">
      <c r="A163" s="3"/>
      <c r="B163" s="3"/>
      <c r="C163" s="127" t="s">
        <v>74</v>
      </c>
      <c r="D163" s="139">
        <f>+D134</f>
        <v>5</v>
      </c>
      <c r="E163" s="133">
        <f>+E134*E169</f>
        <v>50000</v>
      </c>
      <c r="F163" s="92" t="s">
        <v>57</v>
      </c>
      <c r="G163" s="104">
        <f>+E163</f>
        <v>50000</v>
      </c>
      <c r="H163" s="94" t="s">
        <v>55</v>
      </c>
      <c r="I163" s="110">
        <f>+G163</f>
        <v>50000</v>
      </c>
      <c r="J163" s="94" t="s">
        <v>55</v>
      </c>
      <c r="K163" s="111">
        <f>+I163</f>
        <v>50000</v>
      </c>
      <c r="L163" s="94" t="s">
        <v>55</v>
      </c>
      <c r="M163" s="110">
        <f>SUM(M169*M134)</f>
        <v>6349.206349206349</v>
      </c>
      <c r="N163" s="112" t="s">
        <v>55</v>
      </c>
      <c r="O163" s="11"/>
      <c r="P163" s="11"/>
    </row>
    <row r="164" spans="1:16" ht="15">
      <c r="A164" s="3"/>
      <c r="B164" s="3"/>
      <c r="C164" s="127" t="s">
        <v>76</v>
      </c>
      <c r="D164" s="140"/>
      <c r="E164" s="133">
        <f>+E136*E169</f>
        <v>20000</v>
      </c>
      <c r="F164" s="92" t="s">
        <v>57</v>
      </c>
      <c r="G164" s="104">
        <f>+E164</f>
        <v>20000</v>
      </c>
      <c r="H164" s="94" t="s">
        <v>55</v>
      </c>
      <c r="I164" s="110">
        <f>+G164</f>
        <v>20000</v>
      </c>
      <c r="J164" s="94" t="s">
        <v>55</v>
      </c>
      <c r="K164" s="111">
        <f>+I164</f>
        <v>20000</v>
      </c>
      <c r="L164" s="94" t="s">
        <v>55</v>
      </c>
      <c r="M164" s="110">
        <f>SUM(M169*M136)</f>
        <v>2539.6825396825398</v>
      </c>
      <c r="N164" s="112" t="s">
        <v>55</v>
      </c>
      <c r="O164" s="11"/>
      <c r="P164" s="11"/>
    </row>
    <row r="165" spans="1:16" ht="15">
      <c r="A165" s="3"/>
      <c r="B165" s="3"/>
      <c r="C165" s="127" t="str">
        <f>+C153</f>
        <v>     Series A</v>
      </c>
      <c r="D165" s="140"/>
      <c r="E165" s="134"/>
      <c r="F165" s="92" t="s">
        <v>57</v>
      </c>
      <c r="G165" s="109">
        <f>G85/(G128/E170)</f>
        <v>200000</v>
      </c>
      <c r="H165" s="94">
        <f>SUM(G85/G165)</f>
        <v>5</v>
      </c>
      <c r="I165" s="110">
        <f>+G165</f>
        <v>200000</v>
      </c>
      <c r="J165" s="94" t="s">
        <v>55</v>
      </c>
      <c r="K165" s="111">
        <f>+I165</f>
        <v>200000</v>
      </c>
      <c r="L165" s="94" t="s">
        <v>55</v>
      </c>
      <c r="M165" s="110">
        <f>SUM(M169*M137)</f>
        <v>25396.825396825396</v>
      </c>
      <c r="N165" s="112" t="s">
        <v>55</v>
      </c>
      <c r="O165" s="11"/>
      <c r="P165" s="11"/>
    </row>
    <row r="166" spans="1:16" ht="15">
      <c r="A166" s="3"/>
      <c r="B166" s="3"/>
      <c r="C166" s="127" t="str">
        <f>+C154</f>
        <v>     Series B</v>
      </c>
      <c r="D166" s="140"/>
      <c r="E166" s="134"/>
      <c r="F166" s="92" t="s">
        <v>57</v>
      </c>
      <c r="G166" s="113"/>
      <c r="H166" s="94" t="s">
        <v>55</v>
      </c>
      <c r="I166" s="109">
        <f>I85/(I128/G170)</f>
        <v>342857.1428571429</v>
      </c>
      <c r="J166" s="94">
        <f>SUM(I85/I166)</f>
        <v>5.833333333333333</v>
      </c>
      <c r="K166" s="111">
        <f>+I166</f>
        <v>342857.1428571429</v>
      </c>
      <c r="L166" s="94" t="s">
        <v>55</v>
      </c>
      <c r="M166" s="110">
        <f>SUM(M169*M138)</f>
        <v>43537.41496598639</v>
      </c>
      <c r="N166" s="112" t="s">
        <v>55</v>
      </c>
      <c r="O166" s="11"/>
      <c r="P166" s="11"/>
    </row>
    <row r="167" spans="1:16" ht="15">
      <c r="A167" s="3"/>
      <c r="B167" s="3"/>
      <c r="C167" s="127" t="str">
        <f>+C155</f>
        <v>     Series C</v>
      </c>
      <c r="D167" s="140"/>
      <c r="E167" s="134"/>
      <c r="F167" s="92" t="s">
        <v>57</v>
      </c>
      <c r="G167" s="113"/>
      <c r="H167" s="94" t="s">
        <v>55</v>
      </c>
      <c r="I167" s="110"/>
      <c r="J167" s="94" t="s">
        <v>55</v>
      </c>
      <c r="K167" s="109">
        <f>K85/(K128/I170)</f>
        <v>171428.57142857145</v>
      </c>
      <c r="L167" s="94">
        <f>SUM(K85/K167)</f>
        <v>29.166666666666664</v>
      </c>
      <c r="M167" s="110">
        <f>SUM(M169*M139)</f>
        <v>21768.7074829932</v>
      </c>
      <c r="N167" s="112" t="s">
        <v>55</v>
      </c>
      <c r="O167" s="11"/>
      <c r="P167" s="11"/>
    </row>
    <row r="168" spans="1:16" ht="15">
      <c r="A168" s="3"/>
      <c r="B168" s="3"/>
      <c r="C168" s="127" t="str">
        <f>+C156</f>
        <v>     Series D</v>
      </c>
      <c r="D168" s="140"/>
      <c r="E168" s="134"/>
      <c r="F168" s="92" t="s">
        <v>57</v>
      </c>
      <c r="G168" s="113"/>
      <c r="H168" s="94" t="s">
        <v>55</v>
      </c>
      <c r="I168" s="114"/>
      <c r="J168" s="94" t="s">
        <v>55</v>
      </c>
      <c r="K168" s="111"/>
      <c r="L168" s="94" t="s">
        <v>55</v>
      </c>
      <c r="M168" s="109">
        <f>M85/(M128/K170)</f>
        <v>249350.64935064933</v>
      </c>
      <c r="N168" s="115">
        <f>IF(M127=0,0,SUM(M85/M168))</f>
        <v>32.083333333333336</v>
      </c>
      <c r="O168" s="11"/>
      <c r="P168" s="11"/>
    </row>
    <row r="169" spans="1:16" ht="15.75" thickBot="1">
      <c r="A169" s="3"/>
      <c r="B169" s="3"/>
      <c r="C169" s="129" t="s">
        <v>84</v>
      </c>
      <c r="D169" s="141"/>
      <c r="E169" s="343">
        <f>E68</f>
        <v>1000000</v>
      </c>
      <c r="F169" s="99" t="s">
        <v>57</v>
      </c>
      <c r="G169" s="116">
        <f>+G165</f>
        <v>200000</v>
      </c>
      <c r="H169" s="117" t="s">
        <v>55</v>
      </c>
      <c r="I169" s="116">
        <f>+I166</f>
        <v>342857.1428571429</v>
      </c>
      <c r="J169" s="118" t="s">
        <v>55</v>
      </c>
      <c r="K169" s="116">
        <f>+K167</f>
        <v>171428.57142857145</v>
      </c>
      <c r="L169" s="118" t="s">
        <v>55</v>
      </c>
      <c r="M169" s="116">
        <f>+M168</f>
        <v>249350.64935064933</v>
      </c>
      <c r="N169" s="119" t="s">
        <v>55</v>
      </c>
      <c r="O169" s="11"/>
      <c r="P169" s="11"/>
    </row>
    <row r="170" spans="1:16" ht="15.75" thickBot="1">
      <c r="A170" s="4"/>
      <c r="B170" s="4"/>
      <c r="C170" s="130" t="s">
        <v>85</v>
      </c>
      <c r="D170" s="142"/>
      <c r="E170" s="135">
        <f>+E169</f>
        <v>1000000</v>
      </c>
      <c r="F170" s="120"/>
      <c r="G170" s="341">
        <f>E170+G169</f>
        <v>1200000</v>
      </c>
      <c r="H170" s="120"/>
      <c r="I170" s="341">
        <f>G170+I169</f>
        <v>1542857.142857143</v>
      </c>
      <c r="J170" s="121"/>
      <c r="K170" s="341">
        <f>I170+K169</f>
        <v>1714285.7142857143</v>
      </c>
      <c r="L170" s="120"/>
      <c r="M170" s="341">
        <f>K170+M169</f>
        <v>1963636.3636363638</v>
      </c>
      <c r="N170" s="122"/>
      <c r="O170" s="11"/>
      <c r="P170" s="13"/>
    </row>
    <row r="171" spans="1:16" ht="15.75" thickBot="1">
      <c r="A171" s="3"/>
      <c r="B171" s="3"/>
      <c r="C171" s="11"/>
      <c r="D171" s="11"/>
      <c r="E171" s="25" t="s">
        <v>55</v>
      </c>
      <c r="F171" s="11"/>
      <c r="G171" s="25" t="s">
        <v>55</v>
      </c>
      <c r="H171" s="11"/>
      <c r="I171" s="25" t="s">
        <v>55</v>
      </c>
      <c r="J171" s="11"/>
      <c r="K171" s="11"/>
      <c r="L171" s="11"/>
      <c r="M171" s="25" t="s">
        <v>55</v>
      </c>
      <c r="N171" s="11"/>
      <c r="O171" s="11"/>
      <c r="P171" s="11"/>
    </row>
    <row r="172" spans="1:16" ht="16.5">
      <c r="A172" s="1"/>
      <c r="B172" s="248" t="s">
        <v>14</v>
      </c>
      <c r="C172" s="249"/>
      <c r="D172" s="249"/>
      <c r="E172" s="249"/>
      <c r="F172" s="249"/>
      <c r="G172" s="250"/>
      <c r="H172" s="251"/>
      <c r="I172" s="249"/>
      <c r="J172" s="249"/>
      <c r="K172" s="252"/>
      <c r="L172" s="5"/>
      <c r="M172" s="5"/>
      <c r="N172" s="5"/>
      <c r="O172" s="5"/>
      <c r="P172" s="5"/>
    </row>
    <row r="173" spans="1:16" ht="15.75" customHeight="1">
      <c r="A173" s="3"/>
      <c r="B173" s="366" t="s">
        <v>106</v>
      </c>
      <c r="C173" s="27" t="s">
        <v>86</v>
      </c>
      <c r="D173" s="28"/>
      <c r="E173" s="29"/>
      <c r="F173" s="29"/>
      <c r="G173" s="29"/>
      <c r="H173" s="29"/>
      <c r="I173" s="30">
        <f>SUM(1-J173-K173)</f>
        <v>0.9299999999999999</v>
      </c>
      <c r="J173" s="30">
        <f>+E134</f>
        <v>0.05</v>
      </c>
      <c r="K173" s="253">
        <f>+E136</f>
        <v>0.02</v>
      </c>
      <c r="L173" s="31">
        <f>SUM(E173:K173)</f>
        <v>1</v>
      </c>
      <c r="M173" s="11"/>
      <c r="N173" s="11"/>
      <c r="O173" s="11"/>
      <c r="P173" s="11"/>
    </row>
    <row r="174" spans="1:16" ht="15">
      <c r="A174" s="3"/>
      <c r="B174" s="345"/>
      <c r="C174" s="32" t="s">
        <v>87</v>
      </c>
      <c r="D174" s="33" t="s">
        <v>87</v>
      </c>
      <c r="E174" s="34" t="s">
        <v>14</v>
      </c>
      <c r="F174" s="33" t="s">
        <v>15</v>
      </c>
      <c r="G174" s="35" t="s">
        <v>16</v>
      </c>
      <c r="H174" s="35" t="s">
        <v>17</v>
      </c>
      <c r="I174" s="33" t="s">
        <v>56</v>
      </c>
      <c r="J174" s="36" t="s">
        <v>88</v>
      </c>
      <c r="K174" s="254" t="s">
        <v>89</v>
      </c>
      <c r="L174" s="11"/>
      <c r="M174" s="11"/>
      <c r="N174" s="11"/>
      <c r="O174" s="11"/>
      <c r="P174" s="11"/>
    </row>
    <row r="175" spans="1:16" ht="15">
      <c r="A175" s="3"/>
      <c r="B175" s="346"/>
      <c r="C175" s="37" t="s">
        <v>62</v>
      </c>
      <c r="D175" s="38" t="s">
        <v>64</v>
      </c>
      <c r="E175" s="39" t="s">
        <v>67</v>
      </c>
      <c r="F175" s="38" t="s">
        <v>67</v>
      </c>
      <c r="G175" s="19" t="s">
        <v>67</v>
      </c>
      <c r="H175" s="19" t="s">
        <v>67</v>
      </c>
      <c r="I175" s="38" t="s">
        <v>67</v>
      </c>
      <c r="J175" s="40" t="s">
        <v>89</v>
      </c>
      <c r="K175" s="255" t="s">
        <v>90</v>
      </c>
      <c r="L175" s="11"/>
      <c r="M175" s="11"/>
      <c r="N175" s="11"/>
      <c r="O175" s="11"/>
      <c r="P175" s="11"/>
    </row>
    <row r="176" spans="1:16" ht="15">
      <c r="A176" s="3"/>
      <c r="B176" s="256">
        <v>1</v>
      </c>
      <c r="C176" s="41">
        <v>1000000</v>
      </c>
      <c r="D176" s="42">
        <f aca="true" t="shared" si="6" ref="D176:D190">SUM(C176+$G$85)</f>
        <v>2000000</v>
      </c>
      <c r="E176" s="43">
        <f aca="true" t="shared" si="7" ref="E176:E190">SUM($G$85/D176)</f>
        <v>0.5</v>
      </c>
      <c r="F176" s="44" t="s">
        <v>55</v>
      </c>
      <c r="G176" s="45" t="s">
        <v>55</v>
      </c>
      <c r="H176" s="45" t="s">
        <v>55</v>
      </c>
      <c r="I176" s="46">
        <f>SUM(1-E176)*$I$173</f>
        <v>0.46499999999999997</v>
      </c>
      <c r="J176" s="47">
        <f>(1-E176)*$J$173</f>
        <v>0.025</v>
      </c>
      <c r="K176" s="257">
        <f>SUM(1-E176)*$K$173</f>
        <v>0.01</v>
      </c>
      <c r="L176" s="11"/>
      <c r="M176" s="11"/>
      <c r="N176" s="11"/>
      <c r="O176" s="11"/>
      <c r="P176" s="11"/>
    </row>
    <row r="177" spans="1:16" ht="15">
      <c r="A177" s="3"/>
      <c r="B177" s="258">
        <v>2</v>
      </c>
      <c r="C177" s="41">
        <v>2000000</v>
      </c>
      <c r="D177" s="42">
        <f t="shared" si="6"/>
        <v>3000000</v>
      </c>
      <c r="E177" s="43">
        <f t="shared" si="7"/>
        <v>0.3333333333333333</v>
      </c>
      <c r="F177" s="44" t="s">
        <v>55</v>
      </c>
      <c r="G177" s="45" t="s">
        <v>55</v>
      </c>
      <c r="H177" s="45" t="s">
        <v>55</v>
      </c>
      <c r="I177" s="44">
        <f aca="true" t="shared" si="8" ref="I177:I190">SUM(1-E177)*$I$173</f>
        <v>0.62</v>
      </c>
      <c r="J177" s="49">
        <f aca="true" t="shared" si="9" ref="J177:J190">(1-E177)*$J$173</f>
        <v>0.03333333333333334</v>
      </c>
      <c r="K177" s="259">
        <f aca="true" t="shared" si="10" ref="K177:K190">SUM(1-E177)*$K$173</f>
        <v>0.013333333333333336</v>
      </c>
      <c r="L177" s="11"/>
      <c r="M177" s="11"/>
      <c r="N177" s="11"/>
      <c r="O177" s="11"/>
      <c r="P177" s="11"/>
    </row>
    <row r="178" spans="1:16" ht="15">
      <c r="A178" s="3"/>
      <c r="B178" s="258">
        <v>3</v>
      </c>
      <c r="C178" s="41">
        <v>3000000</v>
      </c>
      <c r="D178" s="42">
        <f t="shared" si="6"/>
        <v>4000000</v>
      </c>
      <c r="E178" s="43">
        <f t="shared" si="7"/>
        <v>0.25</v>
      </c>
      <c r="F178" s="44" t="s">
        <v>55</v>
      </c>
      <c r="G178" s="45" t="s">
        <v>55</v>
      </c>
      <c r="H178" s="45" t="s">
        <v>55</v>
      </c>
      <c r="I178" s="44">
        <f t="shared" si="8"/>
        <v>0.6975</v>
      </c>
      <c r="J178" s="49">
        <f t="shared" si="9"/>
        <v>0.037500000000000006</v>
      </c>
      <c r="K178" s="259">
        <f t="shared" si="10"/>
        <v>0.015</v>
      </c>
      <c r="L178" s="11"/>
      <c r="M178" s="11"/>
      <c r="N178" s="11"/>
      <c r="O178" s="11"/>
      <c r="P178" s="11"/>
    </row>
    <row r="179" spans="1:16" ht="15">
      <c r="A179" s="3"/>
      <c r="B179" s="258">
        <v>4</v>
      </c>
      <c r="C179" s="41">
        <v>4000000</v>
      </c>
      <c r="D179" s="42">
        <f t="shared" si="6"/>
        <v>5000000</v>
      </c>
      <c r="E179" s="43">
        <f t="shared" si="7"/>
        <v>0.2</v>
      </c>
      <c r="F179" s="44" t="s">
        <v>55</v>
      </c>
      <c r="G179" s="45" t="s">
        <v>55</v>
      </c>
      <c r="H179" s="45" t="s">
        <v>55</v>
      </c>
      <c r="I179" s="44">
        <f t="shared" si="8"/>
        <v>0.744</v>
      </c>
      <c r="J179" s="49">
        <f t="shared" si="9"/>
        <v>0.04000000000000001</v>
      </c>
      <c r="K179" s="259">
        <f t="shared" si="10"/>
        <v>0.016</v>
      </c>
      <c r="L179" s="11"/>
      <c r="M179" s="11"/>
      <c r="N179" s="11"/>
      <c r="O179" s="11"/>
      <c r="P179" s="11"/>
    </row>
    <row r="180" spans="1:16" ht="15">
      <c r="A180" s="3"/>
      <c r="B180" s="258">
        <v>5</v>
      </c>
      <c r="C180" s="41">
        <v>5000000</v>
      </c>
      <c r="D180" s="42">
        <f t="shared" si="6"/>
        <v>6000000</v>
      </c>
      <c r="E180" s="43">
        <f t="shared" si="7"/>
        <v>0.16666666666666666</v>
      </c>
      <c r="F180" s="44" t="s">
        <v>55</v>
      </c>
      <c r="G180" s="45" t="s">
        <v>55</v>
      </c>
      <c r="H180" s="45" t="s">
        <v>55</v>
      </c>
      <c r="I180" s="44">
        <f t="shared" si="8"/>
        <v>0.775</v>
      </c>
      <c r="J180" s="49">
        <f t="shared" si="9"/>
        <v>0.04166666666666667</v>
      </c>
      <c r="K180" s="259">
        <f t="shared" si="10"/>
        <v>0.016666666666666666</v>
      </c>
      <c r="L180" s="11"/>
      <c r="M180" s="11"/>
      <c r="N180" s="11"/>
      <c r="O180" s="11"/>
      <c r="P180" s="11"/>
    </row>
    <row r="181" spans="1:16" ht="15">
      <c r="A181" s="3"/>
      <c r="B181" s="258">
        <v>6</v>
      </c>
      <c r="C181" s="41">
        <v>6000000</v>
      </c>
      <c r="D181" s="42">
        <f t="shared" si="6"/>
        <v>7000000</v>
      </c>
      <c r="E181" s="43">
        <f t="shared" si="7"/>
        <v>0.14285714285714285</v>
      </c>
      <c r="F181" s="44" t="s">
        <v>55</v>
      </c>
      <c r="G181" s="45" t="s">
        <v>55</v>
      </c>
      <c r="H181" s="45" t="s">
        <v>55</v>
      </c>
      <c r="I181" s="44">
        <f t="shared" si="8"/>
        <v>0.7971428571428572</v>
      </c>
      <c r="J181" s="49">
        <f t="shared" si="9"/>
        <v>0.042857142857142864</v>
      </c>
      <c r="K181" s="259">
        <f t="shared" si="10"/>
        <v>0.017142857142857144</v>
      </c>
      <c r="L181" s="11"/>
      <c r="M181" s="11"/>
      <c r="N181" s="11"/>
      <c r="O181" s="11"/>
      <c r="P181" s="11"/>
    </row>
    <row r="182" spans="1:16" ht="15">
      <c r="A182" s="3"/>
      <c r="B182" s="258">
        <v>7</v>
      </c>
      <c r="C182" s="41">
        <v>7000000</v>
      </c>
      <c r="D182" s="42">
        <f t="shared" si="6"/>
        <v>8000000</v>
      </c>
      <c r="E182" s="43">
        <f t="shared" si="7"/>
        <v>0.125</v>
      </c>
      <c r="F182" s="44" t="s">
        <v>55</v>
      </c>
      <c r="G182" s="45" t="s">
        <v>55</v>
      </c>
      <c r="H182" s="45" t="s">
        <v>55</v>
      </c>
      <c r="I182" s="44">
        <f t="shared" si="8"/>
        <v>0.81375</v>
      </c>
      <c r="J182" s="49">
        <f t="shared" si="9"/>
        <v>0.043750000000000004</v>
      </c>
      <c r="K182" s="259">
        <f t="shared" si="10"/>
        <v>0.0175</v>
      </c>
      <c r="L182" s="11"/>
      <c r="M182" s="11"/>
      <c r="N182" s="11"/>
      <c r="O182" s="11"/>
      <c r="P182" s="11"/>
    </row>
    <row r="183" spans="1:16" ht="15">
      <c r="A183" s="3"/>
      <c r="B183" s="258">
        <v>8</v>
      </c>
      <c r="C183" s="41">
        <v>8000000</v>
      </c>
      <c r="D183" s="42">
        <f t="shared" si="6"/>
        <v>9000000</v>
      </c>
      <c r="E183" s="43">
        <f t="shared" si="7"/>
        <v>0.1111111111111111</v>
      </c>
      <c r="F183" s="44" t="s">
        <v>55</v>
      </c>
      <c r="G183" s="45" t="s">
        <v>55</v>
      </c>
      <c r="H183" s="45" t="s">
        <v>55</v>
      </c>
      <c r="I183" s="44">
        <f t="shared" si="8"/>
        <v>0.8266666666666665</v>
      </c>
      <c r="J183" s="49">
        <f t="shared" si="9"/>
        <v>0.044444444444444446</v>
      </c>
      <c r="K183" s="259">
        <f t="shared" si="10"/>
        <v>0.017777777777777778</v>
      </c>
      <c r="L183" s="11"/>
      <c r="M183" s="11"/>
      <c r="N183" s="11"/>
      <c r="O183" s="11"/>
      <c r="P183" s="11"/>
    </row>
    <row r="184" spans="1:16" ht="15">
      <c r="A184" s="3"/>
      <c r="B184" s="258">
        <v>9</v>
      </c>
      <c r="C184" s="41">
        <v>9000000</v>
      </c>
      <c r="D184" s="42">
        <f t="shared" si="6"/>
        <v>10000000</v>
      </c>
      <c r="E184" s="43">
        <f t="shared" si="7"/>
        <v>0.1</v>
      </c>
      <c r="F184" s="44" t="s">
        <v>55</v>
      </c>
      <c r="G184" s="45" t="s">
        <v>55</v>
      </c>
      <c r="H184" s="45" t="s">
        <v>55</v>
      </c>
      <c r="I184" s="44">
        <f t="shared" si="8"/>
        <v>0.837</v>
      </c>
      <c r="J184" s="49">
        <f t="shared" si="9"/>
        <v>0.045000000000000005</v>
      </c>
      <c r="K184" s="259">
        <f t="shared" si="10"/>
        <v>0.018000000000000002</v>
      </c>
      <c r="L184" s="11"/>
      <c r="M184" s="11"/>
      <c r="N184" s="11"/>
      <c r="O184" s="11"/>
      <c r="P184" s="11"/>
    </row>
    <row r="185" spans="1:16" ht="15">
      <c r="A185" s="3"/>
      <c r="B185" s="258">
        <v>10</v>
      </c>
      <c r="C185" s="41">
        <v>10000000</v>
      </c>
      <c r="D185" s="42">
        <f t="shared" si="6"/>
        <v>11000000</v>
      </c>
      <c r="E185" s="43">
        <f t="shared" si="7"/>
        <v>0.09090909090909091</v>
      </c>
      <c r="F185" s="44" t="s">
        <v>55</v>
      </c>
      <c r="G185" s="45" t="s">
        <v>55</v>
      </c>
      <c r="H185" s="45" t="s">
        <v>55</v>
      </c>
      <c r="I185" s="44">
        <f t="shared" si="8"/>
        <v>0.8454545454545453</v>
      </c>
      <c r="J185" s="49">
        <f t="shared" si="9"/>
        <v>0.045454545454545456</v>
      </c>
      <c r="K185" s="259">
        <f t="shared" si="10"/>
        <v>0.01818181818181818</v>
      </c>
      <c r="L185" s="11"/>
      <c r="M185" s="11"/>
      <c r="N185" s="11"/>
      <c r="O185" s="11"/>
      <c r="P185" s="11"/>
    </row>
    <row r="186" spans="1:16" ht="15">
      <c r="A186" s="3"/>
      <c r="B186" s="258">
        <v>11</v>
      </c>
      <c r="C186" s="41">
        <v>11000000</v>
      </c>
      <c r="D186" s="42">
        <f t="shared" si="6"/>
        <v>12000000</v>
      </c>
      <c r="E186" s="43">
        <f t="shared" si="7"/>
        <v>0.08333333333333333</v>
      </c>
      <c r="F186" s="44" t="s">
        <v>55</v>
      </c>
      <c r="G186" s="45" t="s">
        <v>55</v>
      </c>
      <c r="H186" s="45" t="s">
        <v>55</v>
      </c>
      <c r="I186" s="44">
        <f t="shared" si="8"/>
        <v>0.8524999999999999</v>
      </c>
      <c r="J186" s="49">
        <f t="shared" si="9"/>
        <v>0.04583333333333334</v>
      </c>
      <c r="K186" s="259">
        <f t="shared" si="10"/>
        <v>0.018333333333333333</v>
      </c>
      <c r="L186" s="11"/>
      <c r="M186" s="11"/>
      <c r="N186" s="11"/>
      <c r="O186" s="11"/>
      <c r="P186" s="11"/>
    </row>
    <row r="187" spans="1:16" ht="15">
      <c r="A187" s="3"/>
      <c r="B187" s="258">
        <v>12</v>
      </c>
      <c r="C187" s="41">
        <v>12000000</v>
      </c>
      <c r="D187" s="42">
        <f t="shared" si="6"/>
        <v>13000000</v>
      </c>
      <c r="E187" s="43">
        <f t="shared" si="7"/>
        <v>0.07692307692307693</v>
      </c>
      <c r="F187" s="44" t="s">
        <v>55</v>
      </c>
      <c r="G187" s="45" t="s">
        <v>55</v>
      </c>
      <c r="H187" s="45" t="s">
        <v>55</v>
      </c>
      <c r="I187" s="44">
        <f t="shared" si="8"/>
        <v>0.8584615384615385</v>
      </c>
      <c r="J187" s="49">
        <f t="shared" si="9"/>
        <v>0.046153846153846156</v>
      </c>
      <c r="K187" s="259">
        <f t="shared" si="10"/>
        <v>0.018461538461538463</v>
      </c>
      <c r="L187" s="11"/>
      <c r="M187" s="11"/>
      <c r="N187" s="11"/>
      <c r="O187" s="11"/>
      <c r="P187" s="11"/>
    </row>
    <row r="188" spans="1:16" ht="15">
      <c r="A188" s="3"/>
      <c r="B188" s="258">
        <v>13</v>
      </c>
      <c r="C188" s="41">
        <v>13000000</v>
      </c>
      <c r="D188" s="42">
        <f t="shared" si="6"/>
        <v>14000000</v>
      </c>
      <c r="E188" s="43">
        <f t="shared" si="7"/>
        <v>0.07142857142857142</v>
      </c>
      <c r="F188" s="44" t="s">
        <v>55</v>
      </c>
      <c r="G188" s="45" t="s">
        <v>55</v>
      </c>
      <c r="H188" s="45" t="s">
        <v>55</v>
      </c>
      <c r="I188" s="44">
        <f t="shared" si="8"/>
        <v>0.8635714285714285</v>
      </c>
      <c r="J188" s="49">
        <f t="shared" si="9"/>
        <v>0.04642857142857143</v>
      </c>
      <c r="K188" s="259">
        <f t="shared" si="10"/>
        <v>0.018571428571428572</v>
      </c>
      <c r="L188" s="11"/>
      <c r="M188" s="11"/>
      <c r="N188" s="11"/>
      <c r="O188" s="11"/>
      <c r="P188" s="11"/>
    </row>
    <row r="189" spans="1:16" ht="15">
      <c r="A189" s="3"/>
      <c r="B189" s="258">
        <v>14</v>
      </c>
      <c r="C189" s="50">
        <v>14000000</v>
      </c>
      <c r="D189" s="51">
        <f t="shared" si="6"/>
        <v>15000000</v>
      </c>
      <c r="E189" s="52">
        <f t="shared" si="7"/>
        <v>0.06666666666666667</v>
      </c>
      <c r="F189" s="53" t="s">
        <v>55</v>
      </c>
      <c r="G189" s="45" t="s">
        <v>55</v>
      </c>
      <c r="H189" s="45" t="s">
        <v>55</v>
      </c>
      <c r="I189" s="53">
        <f t="shared" si="8"/>
        <v>0.868</v>
      </c>
      <c r="J189" s="54">
        <f t="shared" si="9"/>
        <v>0.04666666666666667</v>
      </c>
      <c r="K189" s="260">
        <f t="shared" si="10"/>
        <v>0.018666666666666668</v>
      </c>
      <c r="L189" s="11"/>
      <c r="M189" s="11"/>
      <c r="N189" s="11"/>
      <c r="O189" s="11"/>
      <c r="P189" s="11"/>
    </row>
    <row r="190" spans="1:16" ht="15.75" thickBot="1">
      <c r="A190" s="3"/>
      <c r="B190" s="261">
        <v>19</v>
      </c>
      <c r="C190" s="262">
        <v>15000000</v>
      </c>
      <c r="D190" s="263">
        <f t="shared" si="6"/>
        <v>16000000</v>
      </c>
      <c r="E190" s="264">
        <f t="shared" si="7"/>
        <v>0.0625</v>
      </c>
      <c r="F190" s="265" t="s">
        <v>55</v>
      </c>
      <c r="G190" s="266" t="s">
        <v>55</v>
      </c>
      <c r="H190" s="266" t="s">
        <v>55</v>
      </c>
      <c r="I190" s="265">
        <f t="shared" si="8"/>
        <v>0.871875</v>
      </c>
      <c r="J190" s="267">
        <f t="shared" si="9"/>
        <v>0.046875</v>
      </c>
      <c r="K190" s="268">
        <f t="shared" si="10"/>
        <v>0.01875</v>
      </c>
      <c r="L190" s="11"/>
      <c r="M190" s="11"/>
      <c r="N190" s="11"/>
      <c r="O190" s="11"/>
      <c r="P190" s="11"/>
    </row>
    <row r="191" spans="1:16" ht="15.75" thickBot="1">
      <c r="A191" s="3"/>
      <c r="B191" s="3"/>
      <c r="C191" s="11"/>
      <c r="D191" s="11"/>
      <c r="E191" s="11"/>
      <c r="F191" s="11"/>
      <c r="G191" s="26"/>
      <c r="H191" s="26"/>
      <c r="I191" s="11"/>
      <c r="J191" s="11"/>
      <c r="K191" s="11"/>
      <c r="L191" s="11"/>
      <c r="M191" s="11"/>
      <c r="N191" s="11"/>
      <c r="O191" s="11"/>
      <c r="P191" s="11"/>
    </row>
    <row r="192" spans="1:16" ht="16.5">
      <c r="A192" s="1"/>
      <c r="B192" s="248" t="s">
        <v>15</v>
      </c>
      <c r="C192" s="249"/>
      <c r="D192" s="249"/>
      <c r="E192" s="249"/>
      <c r="F192" s="249"/>
      <c r="G192" s="250"/>
      <c r="H192" s="251"/>
      <c r="I192" s="249"/>
      <c r="J192" s="249"/>
      <c r="K192" s="252"/>
      <c r="L192" s="5"/>
      <c r="M192" s="5"/>
      <c r="N192" s="5"/>
      <c r="O192" s="5"/>
      <c r="P192" s="5"/>
    </row>
    <row r="193" spans="1:16" ht="15">
      <c r="A193" s="3"/>
      <c r="B193" s="347" t="s">
        <v>106</v>
      </c>
      <c r="C193" s="238" t="s">
        <v>86</v>
      </c>
      <c r="D193" s="239"/>
      <c r="E193" s="240">
        <f>VLOOKUP(G127,B176:K190,4)</f>
        <v>0.16666666666666666</v>
      </c>
      <c r="F193" s="241" t="str">
        <f>VLOOKUP(G127,B176:K190,5)</f>
        <v> </v>
      </c>
      <c r="G193" s="241"/>
      <c r="H193" s="241"/>
      <c r="I193" s="240">
        <f>VLOOKUP(G127,B176:K190,8)</f>
        <v>0.775</v>
      </c>
      <c r="J193" s="240">
        <f>VLOOKUP(G127,B176:K190,9)</f>
        <v>0.04166666666666667</v>
      </c>
      <c r="K193" s="269">
        <f>VLOOKUP(G127,B176:K190,10)</f>
        <v>0.016666666666666666</v>
      </c>
      <c r="L193" s="31">
        <f>SUM(E193:K193)</f>
        <v>1</v>
      </c>
      <c r="M193" s="11"/>
      <c r="N193" s="11"/>
      <c r="O193" s="11"/>
      <c r="P193" s="11"/>
    </row>
    <row r="194" spans="1:16" ht="15">
      <c r="A194" s="3"/>
      <c r="B194" s="348"/>
      <c r="C194" s="32" t="s">
        <v>87</v>
      </c>
      <c r="D194" s="33" t="s">
        <v>87</v>
      </c>
      <c r="E194" s="34" t="s">
        <v>14</v>
      </c>
      <c r="F194" s="33" t="s">
        <v>15</v>
      </c>
      <c r="G194" s="35" t="s">
        <v>16</v>
      </c>
      <c r="H194" s="35" t="s">
        <v>17</v>
      </c>
      <c r="I194" s="33" t="s">
        <v>56</v>
      </c>
      <c r="J194" s="36" t="s">
        <v>88</v>
      </c>
      <c r="K194" s="254" t="s">
        <v>89</v>
      </c>
      <c r="L194" s="11"/>
      <c r="M194" s="11"/>
      <c r="N194" s="11"/>
      <c r="O194" s="11"/>
      <c r="P194" s="11"/>
    </row>
    <row r="195" spans="1:16" ht="15">
      <c r="A195" s="3"/>
      <c r="B195" s="349"/>
      <c r="C195" s="37" t="s">
        <v>62</v>
      </c>
      <c r="D195" s="38" t="s">
        <v>64</v>
      </c>
      <c r="E195" s="39" t="s">
        <v>67</v>
      </c>
      <c r="F195" s="38" t="s">
        <v>67</v>
      </c>
      <c r="G195" s="19" t="s">
        <v>67</v>
      </c>
      <c r="H195" s="19" t="s">
        <v>67</v>
      </c>
      <c r="I195" s="38" t="s">
        <v>67</v>
      </c>
      <c r="J195" s="40" t="s">
        <v>89</v>
      </c>
      <c r="K195" s="255" t="s">
        <v>90</v>
      </c>
      <c r="L195" s="11"/>
      <c r="M195" s="11"/>
      <c r="N195" s="11"/>
      <c r="O195" s="11"/>
      <c r="P195" s="11"/>
    </row>
    <row r="196" spans="1:16" ht="15">
      <c r="A196" s="3"/>
      <c r="B196" s="270">
        <v>1</v>
      </c>
      <c r="C196" s="55">
        <v>1000000</v>
      </c>
      <c r="D196" s="42">
        <f aca="true" t="shared" si="11" ref="D196:D210">SUM(C196+$I$85)</f>
        <v>3000000</v>
      </c>
      <c r="E196" s="43">
        <f>SUM(1-F196)*$E$193</f>
        <v>0.05555555555555556</v>
      </c>
      <c r="F196" s="44">
        <f aca="true" t="shared" si="12" ref="F196:F210">SUM($I$85/D196)</f>
        <v>0.6666666666666666</v>
      </c>
      <c r="G196" s="45" t="s">
        <v>55</v>
      </c>
      <c r="H196" s="45" t="s">
        <v>55</v>
      </c>
      <c r="I196" s="46">
        <f>SUM(1-F196)*$I$193</f>
        <v>0.25833333333333336</v>
      </c>
      <c r="J196" s="48">
        <f>SUM(1-F196)*$J$193</f>
        <v>0.013888888888888892</v>
      </c>
      <c r="K196" s="257">
        <f>SUM(1-F196)*$K$193</f>
        <v>0.005555555555555556</v>
      </c>
      <c r="L196" s="11"/>
      <c r="M196" s="11"/>
      <c r="N196" s="11"/>
      <c r="O196" s="11"/>
      <c r="P196" s="11"/>
    </row>
    <row r="197" spans="1:16" ht="15">
      <c r="A197" s="3"/>
      <c r="B197" s="271">
        <v>2</v>
      </c>
      <c r="C197" s="41">
        <f>SUM(C196+1000000)</f>
        <v>2000000</v>
      </c>
      <c r="D197" s="42">
        <f t="shared" si="11"/>
        <v>4000000</v>
      </c>
      <c r="E197" s="43">
        <f aca="true" t="shared" si="13" ref="E197:E210">SUM(1-F197)*$E$193</f>
        <v>0.08333333333333333</v>
      </c>
      <c r="F197" s="44">
        <f t="shared" si="12"/>
        <v>0.5</v>
      </c>
      <c r="G197" s="45" t="s">
        <v>55</v>
      </c>
      <c r="H197" s="45" t="s">
        <v>55</v>
      </c>
      <c r="I197" s="44">
        <f aca="true" t="shared" si="14" ref="I197:I210">SUM(1-F197)*$I$193</f>
        <v>0.3875</v>
      </c>
      <c r="J197" s="49">
        <f aca="true" t="shared" si="15" ref="J197:J210">SUM(1-F197)*$J$193</f>
        <v>0.020833333333333336</v>
      </c>
      <c r="K197" s="259">
        <f aca="true" t="shared" si="16" ref="K197:K210">SUM(1-F197)*$K$193</f>
        <v>0.008333333333333333</v>
      </c>
      <c r="L197" s="11"/>
      <c r="M197" s="11"/>
      <c r="N197" s="11"/>
      <c r="O197" s="11"/>
      <c r="P197" s="11"/>
    </row>
    <row r="198" spans="1:16" ht="15">
      <c r="A198" s="3"/>
      <c r="B198" s="271">
        <v>3</v>
      </c>
      <c r="C198" s="41">
        <f aca="true" t="shared" si="17" ref="C198:C210">SUM(C197+1000000)</f>
        <v>3000000</v>
      </c>
      <c r="D198" s="42">
        <f t="shared" si="11"/>
        <v>5000000</v>
      </c>
      <c r="E198" s="43">
        <f t="shared" si="13"/>
        <v>0.09999999999999999</v>
      </c>
      <c r="F198" s="44">
        <f t="shared" si="12"/>
        <v>0.4</v>
      </c>
      <c r="G198" s="45" t="s">
        <v>55</v>
      </c>
      <c r="H198" s="45" t="s">
        <v>55</v>
      </c>
      <c r="I198" s="44">
        <f t="shared" si="14"/>
        <v>0.46499999999999997</v>
      </c>
      <c r="J198" s="49">
        <f t="shared" si="15"/>
        <v>0.025</v>
      </c>
      <c r="K198" s="259">
        <f t="shared" si="16"/>
        <v>0.01</v>
      </c>
      <c r="L198" s="11"/>
      <c r="M198" s="11"/>
      <c r="N198" s="11"/>
      <c r="O198" s="11"/>
      <c r="P198" s="11"/>
    </row>
    <row r="199" spans="1:16" ht="15">
      <c r="A199" s="3"/>
      <c r="B199" s="271">
        <v>4</v>
      </c>
      <c r="C199" s="41">
        <f t="shared" si="17"/>
        <v>4000000</v>
      </c>
      <c r="D199" s="42">
        <f t="shared" si="11"/>
        <v>6000000</v>
      </c>
      <c r="E199" s="43">
        <f t="shared" si="13"/>
        <v>0.11111111111111112</v>
      </c>
      <c r="F199" s="44">
        <f t="shared" si="12"/>
        <v>0.3333333333333333</v>
      </c>
      <c r="G199" s="45" t="s">
        <v>55</v>
      </c>
      <c r="H199" s="45" t="s">
        <v>55</v>
      </c>
      <c r="I199" s="44">
        <f t="shared" si="14"/>
        <v>0.5166666666666667</v>
      </c>
      <c r="J199" s="49">
        <f t="shared" si="15"/>
        <v>0.027777777777777783</v>
      </c>
      <c r="K199" s="259">
        <f t="shared" si="16"/>
        <v>0.011111111111111112</v>
      </c>
      <c r="L199" s="11"/>
      <c r="M199" s="11"/>
      <c r="N199" s="11"/>
      <c r="O199" s="11"/>
      <c r="P199" s="11"/>
    </row>
    <row r="200" spans="1:16" ht="15">
      <c r="A200" s="3"/>
      <c r="B200" s="271">
        <v>5</v>
      </c>
      <c r="C200" s="41">
        <f t="shared" si="17"/>
        <v>5000000</v>
      </c>
      <c r="D200" s="42">
        <f t="shared" si="11"/>
        <v>7000000</v>
      </c>
      <c r="E200" s="43">
        <f t="shared" si="13"/>
        <v>0.11904761904761904</v>
      </c>
      <c r="F200" s="44">
        <f t="shared" si="12"/>
        <v>0.2857142857142857</v>
      </c>
      <c r="G200" s="45" t="s">
        <v>55</v>
      </c>
      <c r="H200" s="45" t="s">
        <v>55</v>
      </c>
      <c r="I200" s="44">
        <f t="shared" si="14"/>
        <v>0.5535714285714286</v>
      </c>
      <c r="J200" s="49">
        <f t="shared" si="15"/>
        <v>0.029761904761904767</v>
      </c>
      <c r="K200" s="259">
        <f t="shared" si="16"/>
        <v>0.011904761904761904</v>
      </c>
      <c r="L200" s="11"/>
      <c r="M200" s="11"/>
      <c r="N200" s="11"/>
      <c r="O200" s="11"/>
      <c r="P200" s="11"/>
    </row>
    <row r="201" spans="1:16" ht="15">
      <c r="A201" s="3"/>
      <c r="B201" s="271">
        <v>6</v>
      </c>
      <c r="C201" s="41">
        <f t="shared" si="17"/>
        <v>6000000</v>
      </c>
      <c r="D201" s="42">
        <f t="shared" si="11"/>
        <v>8000000</v>
      </c>
      <c r="E201" s="43">
        <f t="shared" si="13"/>
        <v>0.125</v>
      </c>
      <c r="F201" s="44">
        <f t="shared" si="12"/>
        <v>0.25</v>
      </c>
      <c r="G201" s="45" t="s">
        <v>55</v>
      </c>
      <c r="H201" s="45" t="s">
        <v>55</v>
      </c>
      <c r="I201" s="44">
        <f t="shared" si="14"/>
        <v>0.58125</v>
      </c>
      <c r="J201" s="49">
        <f t="shared" si="15"/>
        <v>0.03125</v>
      </c>
      <c r="K201" s="259">
        <f t="shared" si="16"/>
        <v>0.0125</v>
      </c>
      <c r="L201" s="11"/>
      <c r="M201" s="11"/>
      <c r="N201" s="11"/>
      <c r="O201" s="11"/>
      <c r="P201" s="11"/>
    </row>
    <row r="202" spans="1:16" ht="15">
      <c r="A202" s="3"/>
      <c r="B202" s="271">
        <v>7</v>
      </c>
      <c r="C202" s="41">
        <f t="shared" si="17"/>
        <v>7000000</v>
      </c>
      <c r="D202" s="42">
        <f t="shared" si="11"/>
        <v>9000000</v>
      </c>
      <c r="E202" s="43">
        <f t="shared" si="13"/>
        <v>0.12962962962962962</v>
      </c>
      <c r="F202" s="44">
        <f t="shared" si="12"/>
        <v>0.2222222222222222</v>
      </c>
      <c r="G202" s="45" t="s">
        <v>55</v>
      </c>
      <c r="H202" s="45" t="s">
        <v>55</v>
      </c>
      <c r="I202" s="44">
        <f t="shared" si="14"/>
        <v>0.6027777777777779</v>
      </c>
      <c r="J202" s="49">
        <f t="shared" si="15"/>
        <v>0.03240740740740741</v>
      </c>
      <c r="K202" s="259">
        <f t="shared" si="16"/>
        <v>0.012962962962962963</v>
      </c>
      <c r="L202" s="11"/>
      <c r="M202" s="11"/>
      <c r="N202" s="11"/>
      <c r="O202" s="11"/>
      <c r="P202" s="11"/>
    </row>
    <row r="203" spans="1:16" ht="15">
      <c r="A203" s="3"/>
      <c r="B203" s="271">
        <v>8</v>
      </c>
      <c r="C203" s="41">
        <f t="shared" si="17"/>
        <v>8000000</v>
      </c>
      <c r="D203" s="42">
        <f t="shared" si="11"/>
        <v>10000000</v>
      </c>
      <c r="E203" s="43">
        <f t="shared" si="13"/>
        <v>0.13333333333333333</v>
      </c>
      <c r="F203" s="44">
        <f t="shared" si="12"/>
        <v>0.2</v>
      </c>
      <c r="G203" s="45" t="s">
        <v>55</v>
      </c>
      <c r="H203" s="45" t="s">
        <v>55</v>
      </c>
      <c r="I203" s="44">
        <f t="shared" si="14"/>
        <v>0.6200000000000001</v>
      </c>
      <c r="J203" s="49">
        <f t="shared" si="15"/>
        <v>0.03333333333333334</v>
      </c>
      <c r="K203" s="259">
        <f t="shared" si="16"/>
        <v>0.013333333333333334</v>
      </c>
      <c r="L203" s="11"/>
      <c r="M203" s="11"/>
      <c r="N203" s="11"/>
      <c r="O203" s="11"/>
      <c r="P203" s="11"/>
    </row>
    <row r="204" spans="1:16" ht="15">
      <c r="A204" s="3"/>
      <c r="B204" s="271">
        <v>9</v>
      </c>
      <c r="C204" s="41">
        <f t="shared" si="17"/>
        <v>9000000</v>
      </c>
      <c r="D204" s="42">
        <f t="shared" si="11"/>
        <v>11000000</v>
      </c>
      <c r="E204" s="43">
        <f t="shared" si="13"/>
        <v>0.13636363636363635</v>
      </c>
      <c r="F204" s="44">
        <f t="shared" si="12"/>
        <v>0.18181818181818182</v>
      </c>
      <c r="G204" s="45" t="s">
        <v>55</v>
      </c>
      <c r="H204" s="45" t="s">
        <v>55</v>
      </c>
      <c r="I204" s="44">
        <f t="shared" si="14"/>
        <v>0.634090909090909</v>
      </c>
      <c r="J204" s="49">
        <f t="shared" si="15"/>
        <v>0.034090909090909095</v>
      </c>
      <c r="K204" s="259">
        <f t="shared" si="16"/>
        <v>0.013636363636363636</v>
      </c>
      <c r="L204" s="11"/>
      <c r="M204" s="11"/>
      <c r="N204" s="11"/>
      <c r="O204" s="11"/>
      <c r="P204" s="11"/>
    </row>
    <row r="205" spans="1:16" ht="15">
      <c r="A205" s="3"/>
      <c r="B205" s="271">
        <v>10</v>
      </c>
      <c r="C205" s="41">
        <f t="shared" si="17"/>
        <v>10000000</v>
      </c>
      <c r="D205" s="42">
        <f t="shared" si="11"/>
        <v>12000000</v>
      </c>
      <c r="E205" s="43">
        <f t="shared" si="13"/>
        <v>0.1388888888888889</v>
      </c>
      <c r="F205" s="44">
        <f t="shared" si="12"/>
        <v>0.16666666666666666</v>
      </c>
      <c r="G205" s="45" t="s">
        <v>55</v>
      </c>
      <c r="H205" s="45" t="s">
        <v>55</v>
      </c>
      <c r="I205" s="44">
        <f t="shared" si="14"/>
        <v>0.6458333333333334</v>
      </c>
      <c r="J205" s="49">
        <f t="shared" si="15"/>
        <v>0.03472222222222223</v>
      </c>
      <c r="K205" s="259">
        <f t="shared" si="16"/>
        <v>0.01388888888888889</v>
      </c>
      <c r="L205" s="11"/>
      <c r="M205" s="11"/>
      <c r="N205" s="11"/>
      <c r="O205" s="11"/>
      <c r="P205" s="11"/>
    </row>
    <row r="206" spans="1:16" ht="15">
      <c r="A206" s="3"/>
      <c r="B206" s="271">
        <v>11</v>
      </c>
      <c r="C206" s="41">
        <f t="shared" si="17"/>
        <v>11000000</v>
      </c>
      <c r="D206" s="42">
        <f t="shared" si="11"/>
        <v>13000000</v>
      </c>
      <c r="E206" s="43">
        <f t="shared" si="13"/>
        <v>0.14102564102564102</v>
      </c>
      <c r="F206" s="44">
        <f t="shared" si="12"/>
        <v>0.15384615384615385</v>
      </c>
      <c r="G206" s="45" t="s">
        <v>55</v>
      </c>
      <c r="H206" s="45" t="s">
        <v>55</v>
      </c>
      <c r="I206" s="44">
        <f t="shared" si="14"/>
        <v>0.6557692307692308</v>
      </c>
      <c r="J206" s="49">
        <f t="shared" si="15"/>
        <v>0.03525641025641026</v>
      </c>
      <c r="K206" s="259">
        <f t="shared" si="16"/>
        <v>0.014102564102564103</v>
      </c>
      <c r="L206" s="11"/>
      <c r="M206" s="11"/>
      <c r="N206" s="11"/>
      <c r="O206" s="11"/>
      <c r="P206" s="11"/>
    </row>
    <row r="207" spans="1:16" ht="15">
      <c r="A207" s="3"/>
      <c r="B207" s="271">
        <v>12</v>
      </c>
      <c r="C207" s="41">
        <f t="shared" si="17"/>
        <v>12000000</v>
      </c>
      <c r="D207" s="42">
        <f t="shared" si="11"/>
        <v>14000000</v>
      </c>
      <c r="E207" s="43">
        <f t="shared" si="13"/>
        <v>0.14285714285714285</v>
      </c>
      <c r="F207" s="44">
        <f t="shared" si="12"/>
        <v>0.14285714285714285</v>
      </c>
      <c r="G207" s="45" t="s">
        <v>55</v>
      </c>
      <c r="H207" s="45" t="s">
        <v>55</v>
      </c>
      <c r="I207" s="44">
        <f t="shared" si="14"/>
        <v>0.6642857142857144</v>
      </c>
      <c r="J207" s="49">
        <f t="shared" si="15"/>
        <v>0.03571428571428572</v>
      </c>
      <c r="K207" s="259">
        <f t="shared" si="16"/>
        <v>0.014285714285714287</v>
      </c>
      <c r="L207" s="11"/>
      <c r="M207" s="11"/>
      <c r="N207" s="11"/>
      <c r="O207" s="11"/>
      <c r="P207" s="11"/>
    </row>
    <row r="208" spans="1:16" ht="15">
      <c r="A208" s="3"/>
      <c r="B208" s="271">
        <v>13</v>
      </c>
      <c r="C208" s="41">
        <f t="shared" si="17"/>
        <v>13000000</v>
      </c>
      <c r="D208" s="42">
        <f t="shared" si="11"/>
        <v>15000000</v>
      </c>
      <c r="E208" s="43">
        <f t="shared" si="13"/>
        <v>0.14444444444444443</v>
      </c>
      <c r="F208" s="44">
        <f t="shared" si="12"/>
        <v>0.13333333333333333</v>
      </c>
      <c r="G208" s="45" t="s">
        <v>55</v>
      </c>
      <c r="H208" s="45" t="s">
        <v>55</v>
      </c>
      <c r="I208" s="44">
        <f t="shared" si="14"/>
        <v>0.6716666666666667</v>
      </c>
      <c r="J208" s="49">
        <f t="shared" si="15"/>
        <v>0.036111111111111115</v>
      </c>
      <c r="K208" s="259">
        <f t="shared" si="16"/>
        <v>0.014444444444444446</v>
      </c>
      <c r="L208" s="11"/>
      <c r="M208" s="11"/>
      <c r="N208" s="11"/>
      <c r="O208" s="11"/>
      <c r="P208" s="11"/>
    </row>
    <row r="209" spans="1:16" ht="15">
      <c r="A209" s="3"/>
      <c r="B209" s="271">
        <v>14</v>
      </c>
      <c r="C209" s="50">
        <f t="shared" si="17"/>
        <v>14000000</v>
      </c>
      <c r="D209" s="51">
        <f t="shared" si="11"/>
        <v>16000000</v>
      </c>
      <c r="E209" s="52">
        <f t="shared" si="13"/>
        <v>0.14583333333333331</v>
      </c>
      <c r="F209" s="53">
        <f t="shared" si="12"/>
        <v>0.125</v>
      </c>
      <c r="G209" s="45" t="s">
        <v>55</v>
      </c>
      <c r="H209" s="45" t="s">
        <v>55</v>
      </c>
      <c r="I209" s="53">
        <f t="shared" si="14"/>
        <v>0.678125</v>
      </c>
      <c r="J209" s="54">
        <f t="shared" si="15"/>
        <v>0.036458333333333336</v>
      </c>
      <c r="K209" s="260">
        <f t="shared" si="16"/>
        <v>0.014583333333333334</v>
      </c>
      <c r="L209" s="11"/>
      <c r="M209" s="11"/>
      <c r="N209" s="11"/>
      <c r="O209" s="11"/>
      <c r="P209" s="11"/>
    </row>
    <row r="210" spans="1:16" ht="15.75" thickBot="1">
      <c r="A210" s="3"/>
      <c r="B210" s="272">
        <v>19</v>
      </c>
      <c r="C210" s="262">
        <f t="shared" si="17"/>
        <v>15000000</v>
      </c>
      <c r="D210" s="263">
        <f t="shared" si="11"/>
        <v>17000000</v>
      </c>
      <c r="E210" s="264">
        <f t="shared" si="13"/>
        <v>0.14705882352941174</v>
      </c>
      <c r="F210" s="265">
        <f t="shared" si="12"/>
        <v>0.11764705882352941</v>
      </c>
      <c r="G210" s="266" t="s">
        <v>55</v>
      </c>
      <c r="H210" s="266" t="s">
        <v>55</v>
      </c>
      <c r="I210" s="265">
        <f t="shared" si="14"/>
        <v>0.6838235294117647</v>
      </c>
      <c r="J210" s="267">
        <f t="shared" si="15"/>
        <v>0.03676470588235294</v>
      </c>
      <c r="K210" s="268">
        <f t="shared" si="16"/>
        <v>0.014705882352941176</v>
      </c>
      <c r="L210" s="11"/>
      <c r="M210" s="11"/>
      <c r="N210" s="11"/>
      <c r="O210" s="11"/>
      <c r="P210" s="11"/>
    </row>
    <row r="211" spans="1:16" ht="15.75" thickBot="1">
      <c r="A211" s="3"/>
      <c r="B211" s="3"/>
      <c r="C211" s="11"/>
      <c r="D211" s="11"/>
      <c r="E211" s="11"/>
      <c r="F211" s="11"/>
      <c r="G211" s="26"/>
      <c r="H211" s="26"/>
      <c r="I211" s="11"/>
      <c r="J211" s="11"/>
      <c r="K211" s="11"/>
      <c r="L211" s="11"/>
      <c r="M211" s="11"/>
      <c r="N211" s="11"/>
      <c r="O211" s="11"/>
      <c r="P211" s="11"/>
    </row>
    <row r="212" spans="1:16" ht="16.5">
      <c r="A212" s="1"/>
      <c r="B212" s="248" t="s">
        <v>16</v>
      </c>
      <c r="C212" s="249"/>
      <c r="D212" s="249"/>
      <c r="E212" s="249"/>
      <c r="F212" s="249"/>
      <c r="G212" s="250"/>
      <c r="H212" s="251"/>
      <c r="I212" s="249"/>
      <c r="J212" s="249"/>
      <c r="K212" s="252"/>
      <c r="L212" s="5"/>
      <c r="M212" s="5"/>
      <c r="N212" s="5"/>
      <c r="O212" s="5"/>
      <c r="P212" s="5"/>
    </row>
    <row r="213" spans="1:16" ht="15">
      <c r="A213" s="3"/>
      <c r="B213" s="350" t="s">
        <v>106</v>
      </c>
      <c r="C213" s="216" t="s">
        <v>86</v>
      </c>
      <c r="D213" s="217"/>
      <c r="E213" s="218">
        <f>VLOOKUP(I127,B196:K210,4)</f>
        <v>0.12962962962962962</v>
      </c>
      <c r="F213" s="218">
        <f>VLOOKUP(I127,B196:K210,5)</f>
        <v>0.2222222222222222</v>
      </c>
      <c r="G213" s="218"/>
      <c r="H213" s="218"/>
      <c r="I213" s="218">
        <f>VLOOKUP(I127,B196:K210,8)</f>
        <v>0.6027777777777779</v>
      </c>
      <c r="J213" s="218">
        <f>VLOOKUP(I127,B196:K210,9)</f>
        <v>0.03240740740740741</v>
      </c>
      <c r="K213" s="273">
        <f>VLOOKUP(I127,B196:K210,10)</f>
        <v>0.012962962962962963</v>
      </c>
      <c r="L213" s="31">
        <f>SUM(E213:K213)</f>
        <v>1.0000000000000002</v>
      </c>
      <c r="M213" s="11"/>
      <c r="N213" s="11"/>
      <c r="O213" s="11"/>
      <c r="P213" s="11"/>
    </row>
    <row r="214" spans="1:16" ht="15">
      <c r="A214" s="3"/>
      <c r="B214" s="351"/>
      <c r="C214" s="32" t="s">
        <v>87</v>
      </c>
      <c r="D214" s="33" t="s">
        <v>87</v>
      </c>
      <c r="E214" s="34" t="s">
        <v>14</v>
      </c>
      <c r="F214" s="33" t="s">
        <v>15</v>
      </c>
      <c r="G214" s="35" t="s">
        <v>16</v>
      </c>
      <c r="H214" s="35" t="s">
        <v>17</v>
      </c>
      <c r="I214" s="33" t="s">
        <v>56</v>
      </c>
      <c r="J214" s="36" t="s">
        <v>88</v>
      </c>
      <c r="K214" s="254" t="s">
        <v>89</v>
      </c>
      <c r="L214" s="11"/>
      <c r="M214" s="11"/>
      <c r="N214" s="11"/>
      <c r="O214" s="11"/>
      <c r="P214" s="11"/>
    </row>
    <row r="215" spans="1:16" ht="15">
      <c r="A215" s="3"/>
      <c r="B215" s="352"/>
      <c r="C215" s="37" t="s">
        <v>62</v>
      </c>
      <c r="D215" s="38" t="s">
        <v>64</v>
      </c>
      <c r="E215" s="39" t="s">
        <v>67</v>
      </c>
      <c r="F215" s="38" t="s">
        <v>67</v>
      </c>
      <c r="G215" s="19" t="s">
        <v>67</v>
      </c>
      <c r="H215" s="19" t="s">
        <v>67</v>
      </c>
      <c r="I215" s="38" t="s">
        <v>67</v>
      </c>
      <c r="J215" s="40" t="s">
        <v>89</v>
      </c>
      <c r="K215" s="255" t="s">
        <v>90</v>
      </c>
      <c r="L215" s="11"/>
      <c r="M215" s="11"/>
      <c r="N215" s="11"/>
      <c r="O215" s="11"/>
      <c r="P215" s="11"/>
    </row>
    <row r="216" spans="1:16" ht="15">
      <c r="A216" s="3"/>
      <c r="B216" s="274">
        <v>1</v>
      </c>
      <c r="C216" s="56">
        <v>5000000</v>
      </c>
      <c r="D216" s="57">
        <f aca="true" t="shared" si="18" ref="D216:D235">SUM(C216+$K$85)</f>
        <v>10000000</v>
      </c>
      <c r="E216" s="58">
        <f>SUM(1-G216)*$E$213</f>
        <v>0.06481481481481481</v>
      </c>
      <c r="F216" s="46">
        <f>SUM(1-G216)*$F$213</f>
        <v>0.1111111111111111</v>
      </c>
      <c r="G216" s="59">
        <f aca="true" t="shared" si="19" ref="G216:G235">SUM($K$85/D216)</f>
        <v>0.5</v>
      </c>
      <c r="H216" s="59" t="s">
        <v>55</v>
      </c>
      <c r="I216" s="46">
        <f>SUM(1-G216)*$I$213</f>
        <v>0.30138888888888893</v>
      </c>
      <c r="J216" s="48">
        <f>SUM(1-G216)*$J$213</f>
        <v>0.016203703703703706</v>
      </c>
      <c r="K216" s="275">
        <f>SUM(1-G216)*$K$213</f>
        <v>0.006481481481481481</v>
      </c>
      <c r="L216" s="11"/>
      <c r="M216" s="11"/>
      <c r="N216" s="11"/>
      <c r="O216" s="11"/>
      <c r="P216" s="11"/>
    </row>
    <row r="217" spans="1:16" ht="15">
      <c r="A217" s="3"/>
      <c r="B217" s="276">
        <v>2</v>
      </c>
      <c r="C217" s="41">
        <f>SUM(C216+5000000)</f>
        <v>10000000</v>
      </c>
      <c r="D217" s="42">
        <f t="shared" si="18"/>
        <v>15000000</v>
      </c>
      <c r="E217" s="43">
        <f aca="true" t="shared" si="20" ref="E217:E235">SUM(1-G217)*$E$213</f>
        <v>0.08641975308641976</v>
      </c>
      <c r="F217" s="44">
        <f aca="true" t="shared" si="21" ref="F217:F235">SUM(1-G217)*$F$213</f>
        <v>0.14814814814814817</v>
      </c>
      <c r="G217" s="45">
        <f t="shared" si="19"/>
        <v>0.3333333333333333</v>
      </c>
      <c r="H217" s="45" t="s">
        <v>55</v>
      </c>
      <c r="I217" s="44">
        <f aca="true" t="shared" si="22" ref="I217:I235">SUM(1-G217)*$I$213</f>
        <v>0.40185185185185196</v>
      </c>
      <c r="J217" s="49">
        <f aca="true" t="shared" si="23" ref="J217:J235">SUM(1-G217)*$J$213</f>
        <v>0.021604938271604944</v>
      </c>
      <c r="K217" s="259">
        <f aca="true" t="shared" si="24" ref="K217:K235">SUM(1-G217)*$K$213</f>
        <v>0.008641975308641976</v>
      </c>
      <c r="L217" s="11"/>
      <c r="M217" s="11"/>
      <c r="N217" s="11"/>
      <c r="O217" s="11"/>
      <c r="P217" s="11"/>
    </row>
    <row r="218" spans="1:16" ht="15">
      <c r="A218" s="3"/>
      <c r="B218" s="276">
        <v>3</v>
      </c>
      <c r="C218" s="41">
        <f aca="true" t="shared" si="25" ref="C218:C235">SUM(C217+5000000)</f>
        <v>15000000</v>
      </c>
      <c r="D218" s="42">
        <f t="shared" si="18"/>
        <v>20000000</v>
      </c>
      <c r="E218" s="43">
        <f t="shared" si="20"/>
        <v>0.09722222222222221</v>
      </c>
      <c r="F218" s="44">
        <f t="shared" si="21"/>
        <v>0.16666666666666666</v>
      </c>
      <c r="G218" s="45">
        <f t="shared" si="19"/>
        <v>0.25</v>
      </c>
      <c r="H218" s="45" t="s">
        <v>55</v>
      </c>
      <c r="I218" s="44">
        <f t="shared" si="22"/>
        <v>0.4520833333333334</v>
      </c>
      <c r="J218" s="49">
        <f t="shared" si="23"/>
        <v>0.02430555555555556</v>
      </c>
      <c r="K218" s="259">
        <f t="shared" si="24"/>
        <v>0.009722222222222222</v>
      </c>
      <c r="L218" s="11"/>
      <c r="M218" s="11"/>
      <c r="N218" s="11"/>
      <c r="O218" s="11"/>
      <c r="P218" s="11"/>
    </row>
    <row r="219" spans="1:16" ht="15">
      <c r="A219" s="3"/>
      <c r="B219" s="276">
        <v>4</v>
      </c>
      <c r="C219" s="41">
        <f t="shared" si="25"/>
        <v>20000000</v>
      </c>
      <c r="D219" s="42">
        <f t="shared" si="18"/>
        <v>25000000</v>
      </c>
      <c r="E219" s="43">
        <f t="shared" si="20"/>
        <v>0.1037037037037037</v>
      </c>
      <c r="F219" s="44">
        <f t="shared" si="21"/>
        <v>0.17777777777777778</v>
      </c>
      <c r="G219" s="45">
        <f t="shared" si="19"/>
        <v>0.2</v>
      </c>
      <c r="H219" s="45" t="s">
        <v>55</v>
      </c>
      <c r="I219" s="44">
        <f t="shared" si="22"/>
        <v>0.48222222222222233</v>
      </c>
      <c r="J219" s="49">
        <f t="shared" si="23"/>
        <v>0.025925925925925932</v>
      </c>
      <c r="K219" s="259">
        <f t="shared" si="24"/>
        <v>0.01037037037037037</v>
      </c>
      <c r="L219" s="11"/>
      <c r="M219" s="11"/>
      <c r="N219" s="11"/>
      <c r="O219" s="11"/>
      <c r="P219" s="11"/>
    </row>
    <row r="220" spans="1:16" ht="15">
      <c r="A220" s="3"/>
      <c r="B220" s="276">
        <v>5</v>
      </c>
      <c r="C220" s="41">
        <f t="shared" si="25"/>
        <v>25000000</v>
      </c>
      <c r="D220" s="42">
        <f t="shared" si="18"/>
        <v>30000000</v>
      </c>
      <c r="E220" s="43">
        <f t="shared" si="20"/>
        <v>0.10802469135802469</v>
      </c>
      <c r="F220" s="44">
        <f t="shared" si="21"/>
        <v>0.18518518518518517</v>
      </c>
      <c r="G220" s="45">
        <f t="shared" si="19"/>
        <v>0.16666666666666666</v>
      </c>
      <c r="H220" s="45" t="s">
        <v>55</v>
      </c>
      <c r="I220" s="44">
        <f t="shared" si="22"/>
        <v>0.5023148148148149</v>
      </c>
      <c r="J220" s="49">
        <f t="shared" si="23"/>
        <v>0.02700617283950618</v>
      </c>
      <c r="K220" s="259">
        <f t="shared" si="24"/>
        <v>0.010802469135802469</v>
      </c>
      <c r="L220" s="11"/>
      <c r="M220" s="11"/>
      <c r="N220" s="11"/>
      <c r="O220" s="11"/>
      <c r="P220" s="11"/>
    </row>
    <row r="221" spans="1:16" ht="15">
      <c r="A221" s="3"/>
      <c r="B221" s="276">
        <v>6</v>
      </c>
      <c r="C221" s="41">
        <f t="shared" si="25"/>
        <v>30000000</v>
      </c>
      <c r="D221" s="42">
        <f t="shared" si="18"/>
        <v>35000000</v>
      </c>
      <c r="E221" s="43">
        <f t="shared" si="20"/>
        <v>0.11111111111111112</v>
      </c>
      <c r="F221" s="44">
        <f t="shared" si="21"/>
        <v>0.1904761904761905</v>
      </c>
      <c r="G221" s="45">
        <f t="shared" si="19"/>
        <v>0.14285714285714285</v>
      </c>
      <c r="H221" s="45"/>
      <c r="I221" s="44">
        <f t="shared" si="22"/>
        <v>0.5166666666666667</v>
      </c>
      <c r="J221" s="49">
        <f t="shared" si="23"/>
        <v>0.027777777777777783</v>
      </c>
      <c r="K221" s="259">
        <f t="shared" si="24"/>
        <v>0.011111111111111112</v>
      </c>
      <c r="L221" s="11"/>
      <c r="M221" s="11"/>
      <c r="N221" s="11"/>
      <c r="O221" s="11"/>
      <c r="P221" s="11"/>
    </row>
    <row r="222" spans="1:16" ht="15">
      <c r="A222" s="3"/>
      <c r="B222" s="276">
        <v>7</v>
      </c>
      <c r="C222" s="41">
        <f t="shared" si="25"/>
        <v>35000000</v>
      </c>
      <c r="D222" s="42">
        <f t="shared" si="18"/>
        <v>40000000</v>
      </c>
      <c r="E222" s="43">
        <f t="shared" si="20"/>
        <v>0.11342592592592592</v>
      </c>
      <c r="F222" s="44">
        <f t="shared" si="21"/>
        <v>0.19444444444444442</v>
      </c>
      <c r="G222" s="45">
        <f t="shared" si="19"/>
        <v>0.125</v>
      </c>
      <c r="H222" s="45"/>
      <c r="I222" s="44">
        <f t="shared" si="22"/>
        <v>0.5274305555555556</v>
      </c>
      <c r="J222" s="49">
        <f t="shared" si="23"/>
        <v>0.028356481481481486</v>
      </c>
      <c r="K222" s="259">
        <f t="shared" si="24"/>
        <v>0.011342592592592592</v>
      </c>
      <c r="L222" s="11"/>
      <c r="M222" s="11"/>
      <c r="N222" s="11"/>
      <c r="O222" s="11"/>
      <c r="P222" s="11"/>
    </row>
    <row r="223" spans="1:16" ht="15">
      <c r="A223" s="3"/>
      <c r="B223" s="276">
        <v>8</v>
      </c>
      <c r="C223" s="41">
        <f t="shared" si="25"/>
        <v>40000000</v>
      </c>
      <c r="D223" s="42">
        <f t="shared" si="18"/>
        <v>45000000</v>
      </c>
      <c r="E223" s="43">
        <f t="shared" si="20"/>
        <v>0.11522633744855966</v>
      </c>
      <c r="F223" s="44">
        <f t="shared" si="21"/>
        <v>0.19753086419753085</v>
      </c>
      <c r="G223" s="45">
        <f t="shared" si="19"/>
        <v>0.1111111111111111</v>
      </c>
      <c r="H223" s="45"/>
      <c r="I223" s="44">
        <f t="shared" si="22"/>
        <v>0.5358024691358025</v>
      </c>
      <c r="J223" s="49">
        <f t="shared" si="23"/>
        <v>0.028806584362139922</v>
      </c>
      <c r="K223" s="259">
        <f t="shared" si="24"/>
        <v>0.011522633744855966</v>
      </c>
      <c r="L223" s="11"/>
      <c r="M223" s="11"/>
      <c r="N223" s="11"/>
      <c r="O223" s="11"/>
      <c r="P223" s="11"/>
    </row>
    <row r="224" spans="1:16" ht="15">
      <c r="A224" s="3"/>
      <c r="B224" s="276">
        <v>9</v>
      </c>
      <c r="C224" s="41">
        <f t="shared" si="25"/>
        <v>45000000</v>
      </c>
      <c r="D224" s="42">
        <f t="shared" si="18"/>
        <v>50000000</v>
      </c>
      <c r="E224" s="43">
        <f t="shared" si="20"/>
        <v>0.11666666666666667</v>
      </c>
      <c r="F224" s="44">
        <f t="shared" si="21"/>
        <v>0.19999999999999998</v>
      </c>
      <c r="G224" s="45">
        <f t="shared" si="19"/>
        <v>0.1</v>
      </c>
      <c r="H224" s="45"/>
      <c r="I224" s="44">
        <f t="shared" si="22"/>
        <v>0.5425000000000001</v>
      </c>
      <c r="J224" s="49">
        <f t="shared" si="23"/>
        <v>0.02916666666666667</v>
      </c>
      <c r="K224" s="259">
        <f t="shared" si="24"/>
        <v>0.011666666666666667</v>
      </c>
      <c r="L224" s="11"/>
      <c r="M224" s="11"/>
      <c r="N224" s="11"/>
      <c r="O224" s="11"/>
      <c r="P224" s="11"/>
    </row>
    <row r="225" spans="1:16" ht="15">
      <c r="A225" s="3"/>
      <c r="B225" s="276">
        <v>10</v>
      </c>
      <c r="C225" s="41">
        <f t="shared" si="25"/>
        <v>50000000</v>
      </c>
      <c r="D225" s="42">
        <f t="shared" si="18"/>
        <v>55000000</v>
      </c>
      <c r="E225" s="43">
        <f t="shared" si="20"/>
        <v>0.11784511784511784</v>
      </c>
      <c r="F225" s="44">
        <f t="shared" si="21"/>
        <v>0.202020202020202</v>
      </c>
      <c r="G225" s="45">
        <f t="shared" si="19"/>
        <v>0.09090909090909091</v>
      </c>
      <c r="H225" s="45"/>
      <c r="I225" s="44">
        <f t="shared" si="22"/>
        <v>0.547979797979798</v>
      </c>
      <c r="J225" s="49">
        <f t="shared" si="23"/>
        <v>0.029461279461279466</v>
      </c>
      <c r="K225" s="259">
        <f t="shared" si="24"/>
        <v>0.011784511784511785</v>
      </c>
      <c r="L225" s="11"/>
      <c r="M225" s="11"/>
      <c r="N225" s="11"/>
      <c r="O225" s="11"/>
      <c r="P225" s="11"/>
    </row>
    <row r="226" spans="1:16" ht="15">
      <c r="A226" s="3"/>
      <c r="B226" s="276">
        <v>11</v>
      </c>
      <c r="C226" s="41">
        <f t="shared" si="25"/>
        <v>55000000</v>
      </c>
      <c r="D226" s="42">
        <f t="shared" si="18"/>
        <v>60000000</v>
      </c>
      <c r="E226" s="43">
        <f t="shared" si="20"/>
        <v>0.11882716049382715</v>
      </c>
      <c r="F226" s="44">
        <f t="shared" si="21"/>
        <v>0.2037037037037037</v>
      </c>
      <c r="G226" s="45">
        <f t="shared" si="19"/>
        <v>0.08333333333333333</v>
      </c>
      <c r="H226" s="45"/>
      <c r="I226" s="44">
        <f t="shared" si="22"/>
        <v>0.5525462962962964</v>
      </c>
      <c r="J226" s="49">
        <f t="shared" si="23"/>
        <v>0.029706790123456794</v>
      </c>
      <c r="K226" s="259">
        <f t="shared" si="24"/>
        <v>0.011882716049382715</v>
      </c>
      <c r="L226" s="11"/>
      <c r="M226" s="11"/>
      <c r="N226" s="11"/>
      <c r="O226" s="11"/>
      <c r="P226" s="11"/>
    </row>
    <row r="227" spans="1:16" ht="15">
      <c r="A227" s="3"/>
      <c r="B227" s="276">
        <v>12</v>
      </c>
      <c r="C227" s="41">
        <f t="shared" si="25"/>
        <v>60000000</v>
      </c>
      <c r="D227" s="42">
        <f t="shared" si="18"/>
        <v>65000000</v>
      </c>
      <c r="E227" s="43">
        <f t="shared" si="20"/>
        <v>0.11965811965811966</v>
      </c>
      <c r="F227" s="44">
        <f t="shared" si="21"/>
        <v>0.20512820512820512</v>
      </c>
      <c r="G227" s="45">
        <f t="shared" si="19"/>
        <v>0.07692307692307693</v>
      </c>
      <c r="H227" s="45"/>
      <c r="I227" s="44">
        <f t="shared" si="22"/>
        <v>0.5564102564102565</v>
      </c>
      <c r="J227" s="49">
        <f t="shared" si="23"/>
        <v>0.02991452991452992</v>
      </c>
      <c r="K227" s="259">
        <f t="shared" si="24"/>
        <v>0.011965811965811967</v>
      </c>
      <c r="L227" s="11"/>
      <c r="M227" s="11"/>
      <c r="N227" s="11"/>
      <c r="O227" s="11"/>
      <c r="P227" s="11"/>
    </row>
    <row r="228" spans="1:16" ht="15">
      <c r="A228" s="3"/>
      <c r="B228" s="276">
        <v>13</v>
      </c>
      <c r="C228" s="41">
        <f t="shared" si="25"/>
        <v>65000000</v>
      </c>
      <c r="D228" s="42">
        <f t="shared" si="18"/>
        <v>70000000</v>
      </c>
      <c r="E228" s="43">
        <f t="shared" si="20"/>
        <v>0.12037037037037036</v>
      </c>
      <c r="F228" s="44">
        <f t="shared" si="21"/>
        <v>0.20634920634920634</v>
      </c>
      <c r="G228" s="45">
        <f t="shared" si="19"/>
        <v>0.07142857142857142</v>
      </c>
      <c r="H228" s="45"/>
      <c r="I228" s="44">
        <f t="shared" si="22"/>
        <v>0.5597222222222223</v>
      </c>
      <c r="J228" s="49">
        <f t="shared" si="23"/>
        <v>0.030092592592592598</v>
      </c>
      <c r="K228" s="259">
        <f t="shared" si="24"/>
        <v>0.012037037037037037</v>
      </c>
      <c r="L228" s="11"/>
      <c r="M228" s="11"/>
      <c r="N228" s="11"/>
      <c r="O228" s="11"/>
      <c r="P228" s="11"/>
    </row>
    <row r="229" spans="1:16" ht="15">
      <c r="A229" s="3"/>
      <c r="B229" s="276">
        <v>14</v>
      </c>
      <c r="C229" s="41">
        <f t="shared" si="25"/>
        <v>70000000</v>
      </c>
      <c r="D229" s="42">
        <f t="shared" si="18"/>
        <v>75000000</v>
      </c>
      <c r="E229" s="43">
        <f t="shared" si="20"/>
        <v>0.12098765432098765</v>
      </c>
      <c r="F229" s="44">
        <f t="shared" si="21"/>
        <v>0.2074074074074074</v>
      </c>
      <c r="G229" s="45">
        <f t="shared" si="19"/>
        <v>0.06666666666666667</v>
      </c>
      <c r="H229" s="45"/>
      <c r="I229" s="44">
        <f t="shared" si="22"/>
        <v>0.5625925925925926</v>
      </c>
      <c r="J229" s="49">
        <f t="shared" si="23"/>
        <v>0.03024691358024692</v>
      </c>
      <c r="K229" s="259">
        <f t="shared" si="24"/>
        <v>0.012098765432098766</v>
      </c>
      <c r="L229" s="11"/>
      <c r="M229" s="11"/>
      <c r="N229" s="11"/>
      <c r="O229" s="11"/>
      <c r="P229" s="11"/>
    </row>
    <row r="230" spans="1:16" ht="15">
      <c r="A230" s="3"/>
      <c r="B230" s="276">
        <v>15</v>
      </c>
      <c r="C230" s="41">
        <f t="shared" si="25"/>
        <v>75000000</v>
      </c>
      <c r="D230" s="42">
        <f t="shared" si="18"/>
        <v>80000000</v>
      </c>
      <c r="E230" s="43">
        <f t="shared" si="20"/>
        <v>0.12152777777777778</v>
      </c>
      <c r="F230" s="44">
        <f t="shared" si="21"/>
        <v>0.20833333333333331</v>
      </c>
      <c r="G230" s="45">
        <f t="shared" si="19"/>
        <v>0.0625</v>
      </c>
      <c r="H230" s="45"/>
      <c r="I230" s="44">
        <f t="shared" si="22"/>
        <v>0.5651041666666667</v>
      </c>
      <c r="J230" s="49">
        <f t="shared" si="23"/>
        <v>0.030381944444444448</v>
      </c>
      <c r="K230" s="259">
        <f t="shared" si="24"/>
        <v>0.012152777777777778</v>
      </c>
      <c r="L230" s="11"/>
      <c r="M230" s="11"/>
      <c r="N230" s="11"/>
      <c r="O230" s="11"/>
      <c r="P230" s="11"/>
    </row>
    <row r="231" spans="1:16" ht="15">
      <c r="A231" s="3"/>
      <c r="B231" s="276">
        <v>16</v>
      </c>
      <c r="C231" s="41">
        <f t="shared" si="25"/>
        <v>80000000</v>
      </c>
      <c r="D231" s="42">
        <f t="shared" si="18"/>
        <v>85000000</v>
      </c>
      <c r="E231" s="43">
        <f t="shared" si="20"/>
        <v>0.12200435729847493</v>
      </c>
      <c r="F231" s="44">
        <f t="shared" si="21"/>
        <v>0.2091503267973856</v>
      </c>
      <c r="G231" s="45">
        <f t="shared" si="19"/>
        <v>0.058823529411764705</v>
      </c>
      <c r="H231" s="45"/>
      <c r="I231" s="44">
        <f t="shared" si="22"/>
        <v>0.5673202614379086</v>
      </c>
      <c r="J231" s="49">
        <f t="shared" si="23"/>
        <v>0.03050108932461874</v>
      </c>
      <c r="K231" s="259">
        <f t="shared" si="24"/>
        <v>0.012200435729847494</v>
      </c>
      <c r="L231" s="11"/>
      <c r="M231" s="11"/>
      <c r="N231" s="11"/>
      <c r="O231" s="11"/>
      <c r="P231" s="11"/>
    </row>
    <row r="232" spans="1:16" ht="15">
      <c r="A232" s="3"/>
      <c r="B232" s="276">
        <v>17</v>
      </c>
      <c r="C232" s="41">
        <f t="shared" si="25"/>
        <v>85000000</v>
      </c>
      <c r="D232" s="42">
        <f t="shared" si="18"/>
        <v>90000000</v>
      </c>
      <c r="E232" s="43">
        <f t="shared" si="20"/>
        <v>0.12242798353909463</v>
      </c>
      <c r="F232" s="44">
        <f t="shared" si="21"/>
        <v>0.20987654320987653</v>
      </c>
      <c r="G232" s="45">
        <f t="shared" si="19"/>
        <v>0.05555555555555555</v>
      </c>
      <c r="H232" s="45"/>
      <c r="I232" s="44">
        <f t="shared" si="22"/>
        <v>0.5692901234567902</v>
      </c>
      <c r="J232" s="49">
        <f t="shared" si="23"/>
        <v>0.030606995884773665</v>
      </c>
      <c r="K232" s="259">
        <f t="shared" si="24"/>
        <v>0.012242798353909465</v>
      </c>
      <c r="L232" s="11"/>
      <c r="M232" s="11"/>
      <c r="N232" s="11"/>
      <c r="O232" s="11"/>
      <c r="P232" s="11"/>
    </row>
    <row r="233" spans="1:16" ht="15">
      <c r="A233" s="3"/>
      <c r="B233" s="276">
        <v>18</v>
      </c>
      <c r="C233" s="41">
        <f t="shared" si="25"/>
        <v>90000000</v>
      </c>
      <c r="D233" s="42">
        <f t="shared" si="18"/>
        <v>95000000</v>
      </c>
      <c r="E233" s="43">
        <f t="shared" si="20"/>
        <v>0.12280701754385966</v>
      </c>
      <c r="F233" s="44">
        <f t="shared" si="21"/>
        <v>0.21052631578947367</v>
      </c>
      <c r="G233" s="45">
        <f t="shared" si="19"/>
        <v>0.05263157894736842</v>
      </c>
      <c r="H233" s="45" t="s">
        <v>55</v>
      </c>
      <c r="I233" s="44">
        <f t="shared" si="22"/>
        <v>0.5710526315789475</v>
      </c>
      <c r="J233" s="49">
        <f t="shared" si="23"/>
        <v>0.030701754385964918</v>
      </c>
      <c r="K233" s="259">
        <f t="shared" si="24"/>
        <v>0.012280701754385965</v>
      </c>
      <c r="L233" s="11"/>
      <c r="M233" s="11"/>
      <c r="N233" s="11"/>
      <c r="O233" s="11"/>
      <c r="P233" s="11"/>
    </row>
    <row r="234" spans="1:16" ht="15">
      <c r="A234" s="3"/>
      <c r="B234" s="276">
        <v>19</v>
      </c>
      <c r="C234" s="41">
        <f t="shared" si="25"/>
        <v>95000000</v>
      </c>
      <c r="D234" s="42">
        <f t="shared" si="18"/>
        <v>100000000</v>
      </c>
      <c r="E234" s="43">
        <f t="shared" si="20"/>
        <v>0.12314814814814813</v>
      </c>
      <c r="F234" s="44">
        <f t="shared" si="21"/>
        <v>0.21111111111111108</v>
      </c>
      <c r="G234" s="45">
        <f t="shared" si="19"/>
        <v>0.05</v>
      </c>
      <c r="H234" s="45" t="s">
        <v>55</v>
      </c>
      <c r="I234" s="44">
        <f t="shared" si="22"/>
        <v>0.5726388888888889</v>
      </c>
      <c r="J234" s="49">
        <f t="shared" si="23"/>
        <v>0.03078703703703704</v>
      </c>
      <c r="K234" s="259">
        <f t="shared" si="24"/>
        <v>0.012314814814814813</v>
      </c>
      <c r="L234" s="11"/>
      <c r="M234" s="11"/>
      <c r="N234" s="11"/>
      <c r="O234" s="11"/>
      <c r="P234" s="11"/>
    </row>
    <row r="235" spans="1:16" ht="15.75" thickBot="1">
      <c r="A235" s="3"/>
      <c r="B235" s="277">
        <v>20</v>
      </c>
      <c r="C235" s="278">
        <f t="shared" si="25"/>
        <v>100000000</v>
      </c>
      <c r="D235" s="279">
        <f t="shared" si="18"/>
        <v>105000000</v>
      </c>
      <c r="E235" s="280">
        <f t="shared" si="20"/>
        <v>0.12345679012345678</v>
      </c>
      <c r="F235" s="281">
        <f t="shared" si="21"/>
        <v>0.21164021164021163</v>
      </c>
      <c r="G235" s="266">
        <f t="shared" si="19"/>
        <v>0.047619047619047616</v>
      </c>
      <c r="H235" s="266" t="s">
        <v>55</v>
      </c>
      <c r="I235" s="281">
        <f t="shared" si="22"/>
        <v>0.5740740740740741</v>
      </c>
      <c r="J235" s="282">
        <f t="shared" si="23"/>
        <v>0.0308641975308642</v>
      </c>
      <c r="K235" s="283">
        <f t="shared" si="24"/>
        <v>0.012345679012345678</v>
      </c>
      <c r="L235" s="11"/>
      <c r="M235" s="11"/>
      <c r="N235" s="11"/>
      <c r="O235" s="11"/>
      <c r="P235" s="11"/>
    </row>
    <row r="236" spans="1:16" ht="15.75" thickBot="1">
      <c r="A236" s="3"/>
      <c r="B236" s="3"/>
      <c r="C236" s="11"/>
      <c r="D236" s="11"/>
      <c r="E236" s="11"/>
      <c r="F236" s="11"/>
      <c r="G236" s="26"/>
      <c r="H236" s="26"/>
      <c r="I236" s="11"/>
      <c r="J236" s="11"/>
      <c r="K236" s="11"/>
      <c r="L236" s="11"/>
      <c r="M236" s="11"/>
      <c r="N236" s="11"/>
      <c r="O236" s="11"/>
      <c r="P236" s="11"/>
    </row>
    <row r="237" spans="1:16" ht="16.5">
      <c r="A237" s="1"/>
      <c r="B237" s="248" t="s">
        <v>17</v>
      </c>
      <c r="C237" s="249"/>
      <c r="D237" s="249"/>
      <c r="E237" s="249"/>
      <c r="F237" s="249"/>
      <c r="G237" s="250"/>
      <c r="H237" s="251"/>
      <c r="I237" s="249"/>
      <c r="J237" s="249"/>
      <c r="K237" s="252"/>
      <c r="L237" s="5"/>
      <c r="M237" s="5"/>
      <c r="N237" s="5"/>
      <c r="O237" s="5"/>
      <c r="P237" s="5"/>
    </row>
    <row r="238" spans="1:16" ht="15">
      <c r="A238" s="3"/>
      <c r="B238" s="361" t="s">
        <v>106</v>
      </c>
      <c r="C238" s="213" t="s">
        <v>86</v>
      </c>
      <c r="D238" s="214"/>
      <c r="E238" s="215">
        <f>VLOOKUP(K127,B216:K235,4)</f>
        <v>0.11666666666666667</v>
      </c>
      <c r="F238" s="215">
        <f>VLOOKUP(K127,B216:K235,5)</f>
        <v>0.19999999999999998</v>
      </c>
      <c r="G238" s="215">
        <f>VLOOKUP(K127,B216:K235,6)</f>
        <v>0.1</v>
      </c>
      <c r="H238" s="215"/>
      <c r="I238" s="215">
        <f>VLOOKUP(K127,B216:K235,8)</f>
        <v>0.5425000000000001</v>
      </c>
      <c r="J238" s="215">
        <f>VLOOKUP(K127,B216:K235,9)</f>
        <v>0.02916666666666667</v>
      </c>
      <c r="K238" s="284">
        <f>VLOOKUP(K127,B216:K235,10)</f>
        <v>0.011666666666666667</v>
      </c>
      <c r="L238" s="31">
        <f>SUM(E238:K238)</f>
        <v>1</v>
      </c>
      <c r="M238" s="11"/>
      <c r="N238" s="11"/>
      <c r="O238" s="11"/>
      <c r="P238" s="11"/>
    </row>
    <row r="239" spans="1:16" ht="15">
      <c r="A239" s="3"/>
      <c r="B239" s="362"/>
      <c r="C239" s="32" t="s">
        <v>87</v>
      </c>
      <c r="D239" s="33" t="s">
        <v>87</v>
      </c>
      <c r="E239" s="34" t="s">
        <v>14</v>
      </c>
      <c r="F239" s="33" t="s">
        <v>15</v>
      </c>
      <c r="G239" s="35" t="s">
        <v>16</v>
      </c>
      <c r="H239" s="35" t="s">
        <v>17</v>
      </c>
      <c r="I239" s="33" t="s">
        <v>56</v>
      </c>
      <c r="J239" s="36" t="s">
        <v>88</v>
      </c>
      <c r="K239" s="254" t="s">
        <v>89</v>
      </c>
      <c r="L239" s="11"/>
      <c r="M239" s="11"/>
      <c r="N239" s="11"/>
      <c r="O239" s="11"/>
      <c r="P239" s="11"/>
    </row>
    <row r="240" spans="1:16" ht="15">
      <c r="A240" s="3"/>
      <c r="B240" s="363"/>
      <c r="C240" s="37" t="s">
        <v>62</v>
      </c>
      <c r="D240" s="38" t="s">
        <v>64</v>
      </c>
      <c r="E240" s="39" t="s">
        <v>67</v>
      </c>
      <c r="F240" s="38" t="s">
        <v>67</v>
      </c>
      <c r="G240" s="19" t="s">
        <v>67</v>
      </c>
      <c r="H240" s="19" t="s">
        <v>67</v>
      </c>
      <c r="I240" s="38" t="s">
        <v>67</v>
      </c>
      <c r="J240" s="40" t="s">
        <v>89</v>
      </c>
      <c r="K240" s="255" t="s">
        <v>90</v>
      </c>
      <c r="L240" s="11"/>
      <c r="M240" s="11"/>
      <c r="N240" s="11"/>
      <c r="O240" s="11"/>
      <c r="P240" s="11"/>
    </row>
    <row r="241" spans="1:16" ht="15">
      <c r="A241" s="3"/>
      <c r="B241" s="285">
        <v>1</v>
      </c>
      <c r="C241" s="56">
        <v>5000000</v>
      </c>
      <c r="D241" s="57">
        <f aca="true" t="shared" si="26" ref="D241:D265">SUM(C241+$M$85)</f>
        <v>13000000</v>
      </c>
      <c r="E241" s="58">
        <f>SUM(1-H241)*$E$238</f>
        <v>0.04487179487179487</v>
      </c>
      <c r="F241" s="46">
        <f>SUM(1-H241)*$F$238</f>
        <v>0.07692307692307691</v>
      </c>
      <c r="G241" s="59">
        <f>SUM(1-H241)*$G$238</f>
        <v>0.038461538461538464</v>
      </c>
      <c r="H241" s="59">
        <f aca="true" t="shared" si="27" ref="H241:H265">SUM($M$85/D241)</f>
        <v>0.6153846153846154</v>
      </c>
      <c r="I241" s="46">
        <f>SUM(1-H241)*$I$238</f>
        <v>0.20865384615384616</v>
      </c>
      <c r="J241" s="48">
        <f>SUM(1-H241)*$J$238</f>
        <v>0.011217948717948718</v>
      </c>
      <c r="K241" s="275">
        <f>SUM(1-H241)*$K$238</f>
        <v>0.004487179487179487</v>
      </c>
      <c r="L241" s="11"/>
      <c r="M241" s="11"/>
      <c r="N241" s="11"/>
      <c r="O241" s="11"/>
      <c r="P241" s="11"/>
    </row>
    <row r="242" spans="1:16" ht="15">
      <c r="A242" s="3"/>
      <c r="B242" s="286">
        <v>2</v>
      </c>
      <c r="C242" s="41">
        <f>SUM(C241+5000000)</f>
        <v>10000000</v>
      </c>
      <c r="D242" s="42">
        <f t="shared" si="26"/>
        <v>18000000</v>
      </c>
      <c r="E242" s="43">
        <f aca="true" t="shared" si="28" ref="E242:E265">SUM(1-H242)*$E$238</f>
        <v>0.06481481481481483</v>
      </c>
      <c r="F242" s="44">
        <f aca="true" t="shared" si="29" ref="F242:F265">SUM(1-H242)*$F$238</f>
        <v>0.1111111111111111</v>
      </c>
      <c r="G242" s="45">
        <f aca="true" t="shared" si="30" ref="G242:G265">SUM(1-H242)*$G$238</f>
        <v>0.05555555555555556</v>
      </c>
      <c r="H242" s="45">
        <f t="shared" si="27"/>
        <v>0.4444444444444444</v>
      </c>
      <c r="I242" s="44">
        <f aca="true" t="shared" si="31" ref="I242:I265">SUM(1-H242)*$I$238</f>
        <v>0.30138888888888893</v>
      </c>
      <c r="J242" s="49">
        <f aca="true" t="shared" si="32" ref="J242:J265">SUM(1-H242)*$J$238</f>
        <v>0.016203703703703706</v>
      </c>
      <c r="K242" s="259">
        <f aca="true" t="shared" si="33" ref="K242:K265">SUM(1-H242)*$K$238</f>
        <v>0.006481481481481482</v>
      </c>
      <c r="L242" s="11"/>
      <c r="M242" s="11"/>
      <c r="N242" s="11"/>
      <c r="O242" s="11"/>
      <c r="P242" s="11"/>
    </row>
    <row r="243" spans="1:16" ht="15">
      <c r="A243" s="3"/>
      <c r="B243" s="286">
        <v>3</v>
      </c>
      <c r="C243" s="41">
        <f aca="true" t="shared" si="34" ref="C243:C265">SUM(C242+5000000)</f>
        <v>15000000</v>
      </c>
      <c r="D243" s="42">
        <f t="shared" si="26"/>
        <v>23000000</v>
      </c>
      <c r="E243" s="43">
        <f t="shared" si="28"/>
        <v>0.07608695652173914</v>
      </c>
      <c r="F243" s="44">
        <f t="shared" si="29"/>
        <v>0.13043478260869565</v>
      </c>
      <c r="G243" s="45">
        <f t="shared" si="30"/>
        <v>0.06521739130434782</v>
      </c>
      <c r="H243" s="45">
        <f t="shared" si="27"/>
        <v>0.34782608695652173</v>
      </c>
      <c r="I243" s="44">
        <f t="shared" si="31"/>
        <v>0.353804347826087</v>
      </c>
      <c r="J243" s="49">
        <f t="shared" si="32"/>
        <v>0.019021739130434784</v>
      </c>
      <c r="K243" s="259">
        <f t="shared" si="33"/>
        <v>0.007608695652173913</v>
      </c>
      <c r="L243" s="11"/>
      <c r="M243" s="11"/>
      <c r="N243" s="11"/>
      <c r="O243" s="11"/>
      <c r="P243" s="11"/>
    </row>
    <row r="244" spans="1:16" ht="15">
      <c r="A244" s="3"/>
      <c r="B244" s="286">
        <v>4</v>
      </c>
      <c r="C244" s="41">
        <f t="shared" si="34"/>
        <v>20000000</v>
      </c>
      <c r="D244" s="42">
        <f t="shared" si="26"/>
        <v>28000000</v>
      </c>
      <c r="E244" s="43">
        <f t="shared" si="28"/>
        <v>0.08333333333333334</v>
      </c>
      <c r="F244" s="44">
        <f t="shared" si="29"/>
        <v>0.14285714285714285</v>
      </c>
      <c r="G244" s="45">
        <f t="shared" si="30"/>
        <v>0.07142857142857144</v>
      </c>
      <c r="H244" s="45">
        <f t="shared" si="27"/>
        <v>0.2857142857142857</v>
      </c>
      <c r="I244" s="44">
        <f t="shared" si="31"/>
        <v>0.38750000000000007</v>
      </c>
      <c r="J244" s="49">
        <f t="shared" si="32"/>
        <v>0.020833333333333336</v>
      </c>
      <c r="K244" s="259">
        <f t="shared" si="33"/>
        <v>0.008333333333333333</v>
      </c>
      <c r="L244" s="11"/>
      <c r="M244" s="11"/>
      <c r="N244" s="11"/>
      <c r="O244" s="11"/>
      <c r="P244" s="11"/>
    </row>
    <row r="245" spans="1:16" ht="15">
      <c r="A245" s="3"/>
      <c r="B245" s="286">
        <v>5</v>
      </c>
      <c r="C245" s="41">
        <f t="shared" si="34"/>
        <v>25000000</v>
      </c>
      <c r="D245" s="42">
        <f t="shared" si="26"/>
        <v>33000000</v>
      </c>
      <c r="E245" s="43">
        <f t="shared" si="28"/>
        <v>0.08838383838383838</v>
      </c>
      <c r="F245" s="44">
        <f t="shared" si="29"/>
        <v>0.1515151515151515</v>
      </c>
      <c r="G245" s="45">
        <f t="shared" si="30"/>
        <v>0.07575757575757576</v>
      </c>
      <c r="H245" s="45">
        <f t="shared" si="27"/>
        <v>0.24242424242424243</v>
      </c>
      <c r="I245" s="44">
        <f t="shared" si="31"/>
        <v>0.41098484848484856</v>
      </c>
      <c r="J245" s="49">
        <f t="shared" si="32"/>
        <v>0.0220959595959596</v>
      </c>
      <c r="K245" s="259">
        <f t="shared" si="33"/>
        <v>0.008838383838383838</v>
      </c>
      <c r="L245" s="11"/>
      <c r="M245" s="11"/>
      <c r="N245" s="11"/>
      <c r="O245" s="11"/>
      <c r="P245" s="11"/>
    </row>
    <row r="246" spans="1:16" ht="15">
      <c r="A246" s="3"/>
      <c r="B246" s="286">
        <v>6</v>
      </c>
      <c r="C246" s="41">
        <f t="shared" si="34"/>
        <v>30000000</v>
      </c>
      <c r="D246" s="42">
        <f t="shared" si="26"/>
        <v>38000000</v>
      </c>
      <c r="E246" s="43">
        <f t="shared" si="28"/>
        <v>0.09210526315789475</v>
      </c>
      <c r="F246" s="44">
        <f t="shared" si="29"/>
        <v>0.15789473684210525</v>
      </c>
      <c r="G246" s="45">
        <f t="shared" si="30"/>
        <v>0.07894736842105264</v>
      </c>
      <c r="H246" s="45">
        <f t="shared" si="27"/>
        <v>0.21052631578947367</v>
      </c>
      <c r="I246" s="44">
        <f t="shared" si="31"/>
        <v>0.4282894736842106</v>
      </c>
      <c r="J246" s="49">
        <f t="shared" si="32"/>
        <v>0.023026315789473686</v>
      </c>
      <c r="K246" s="259">
        <f t="shared" si="33"/>
        <v>0.009210526315789475</v>
      </c>
      <c r="L246" s="11"/>
      <c r="M246" s="11"/>
      <c r="N246" s="11"/>
      <c r="O246" s="11"/>
      <c r="P246" s="11"/>
    </row>
    <row r="247" spans="1:16" ht="15">
      <c r="A247" s="3"/>
      <c r="B247" s="286">
        <v>7</v>
      </c>
      <c r="C247" s="41">
        <f t="shared" si="34"/>
        <v>35000000</v>
      </c>
      <c r="D247" s="42">
        <f t="shared" si="26"/>
        <v>43000000</v>
      </c>
      <c r="E247" s="43">
        <f t="shared" si="28"/>
        <v>0.09496124031007752</v>
      </c>
      <c r="F247" s="44">
        <f t="shared" si="29"/>
        <v>0.1627906976744186</v>
      </c>
      <c r="G247" s="45">
        <f t="shared" si="30"/>
        <v>0.08139534883720931</v>
      </c>
      <c r="H247" s="45">
        <f t="shared" si="27"/>
        <v>0.18604651162790697</v>
      </c>
      <c r="I247" s="44">
        <f t="shared" si="31"/>
        <v>0.44156976744186055</v>
      </c>
      <c r="J247" s="49">
        <f t="shared" si="32"/>
        <v>0.023740310077519384</v>
      </c>
      <c r="K247" s="259">
        <f t="shared" si="33"/>
        <v>0.009496124031007752</v>
      </c>
      <c r="L247" s="11"/>
      <c r="M247" s="11"/>
      <c r="N247" s="11"/>
      <c r="O247" s="11"/>
      <c r="P247" s="11"/>
    </row>
    <row r="248" spans="1:16" ht="15">
      <c r="A248" s="3"/>
      <c r="B248" s="286">
        <v>8</v>
      </c>
      <c r="C248" s="41">
        <f t="shared" si="34"/>
        <v>40000000</v>
      </c>
      <c r="D248" s="42">
        <f t="shared" si="26"/>
        <v>48000000</v>
      </c>
      <c r="E248" s="43">
        <f t="shared" si="28"/>
        <v>0.09722222222222222</v>
      </c>
      <c r="F248" s="44">
        <f t="shared" si="29"/>
        <v>0.16666666666666666</v>
      </c>
      <c r="G248" s="45">
        <f t="shared" si="30"/>
        <v>0.08333333333333334</v>
      </c>
      <c r="H248" s="45">
        <f t="shared" si="27"/>
        <v>0.16666666666666666</v>
      </c>
      <c r="I248" s="44">
        <f t="shared" si="31"/>
        <v>0.45208333333333345</v>
      </c>
      <c r="J248" s="49">
        <f t="shared" si="32"/>
        <v>0.02430555555555556</v>
      </c>
      <c r="K248" s="259">
        <f t="shared" si="33"/>
        <v>0.009722222222222222</v>
      </c>
      <c r="L248" s="11"/>
      <c r="M248" s="11"/>
      <c r="N248" s="11"/>
      <c r="O248" s="11"/>
      <c r="P248" s="11"/>
    </row>
    <row r="249" spans="1:16" ht="15">
      <c r="A249" s="3"/>
      <c r="B249" s="286">
        <v>9</v>
      </c>
      <c r="C249" s="41">
        <f t="shared" si="34"/>
        <v>45000000</v>
      </c>
      <c r="D249" s="42">
        <f t="shared" si="26"/>
        <v>53000000</v>
      </c>
      <c r="E249" s="43">
        <f t="shared" si="28"/>
        <v>0.09905660377358491</v>
      </c>
      <c r="F249" s="44">
        <f t="shared" si="29"/>
        <v>0.16981132075471697</v>
      </c>
      <c r="G249" s="45">
        <f t="shared" si="30"/>
        <v>0.0849056603773585</v>
      </c>
      <c r="H249" s="45">
        <f t="shared" si="27"/>
        <v>0.1509433962264151</v>
      </c>
      <c r="I249" s="44">
        <f t="shared" si="31"/>
        <v>0.4606132075471699</v>
      </c>
      <c r="J249" s="49">
        <f t="shared" si="32"/>
        <v>0.02476415094339623</v>
      </c>
      <c r="K249" s="259">
        <f t="shared" si="33"/>
        <v>0.009905660377358492</v>
      </c>
      <c r="L249" s="11"/>
      <c r="M249" s="11"/>
      <c r="N249" s="11"/>
      <c r="O249" s="11"/>
      <c r="P249" s="11"/>
    </row>
    <row r="250" spans="1:16" ht="15">
      <c r="A250" s="3"/>
      <c r="B250" s="286">
        <v>10</v>
      </c>
      <c r="C250" s="41">
        <f t="shared" si="34"/>
        <v>50000000</v>
      </c>
      <c r="D250" s="42">
        <f t="shared" si="26"/>
        <v>58000000</v>
      </c>
      <c r="E250" s="43">
        <f t="shared" si="28"/>
        <v>0.10057471264367816</v>
      </c>
      <c r="F250" s="44">
        <f t="shared" si="29"/>
        <v>0.17241379310344826</v>
      </c>
      <c r="G250" s="45">
        <f t="shared" si="30"/>
        <v>0.08620689655172414</v>
      </c>
      <c r="H250" s="45">
        <f t="shared" si="27"/>
        <v>0.13793103448275862</v>
      </c>
      <c r="I250" s="44">
        <f t="shared" si="31"/>
        <v>0.4676724137931035</v>
      </c>
      <c r="J250" s="49">
        <f t="shared" si="32"/>
        <v>0.02514367816091954</v>
      </c>
      <c r="K250" s="259">
        <f t="shared" si="33"/>
        <v>0.010057471264367816</v>
      </c>
      <c r="L250" s="11"/>
      <c r="M250" s="11"/>
      <c r="N250" s="11"/>
      <c r="O250" s="11"/>
      <c r="P250" s="11"/>
    </row>
    <row r="251" spans="1:16" ht="15">
      <c r="A251" s="3"/>
      <c r="B251" s="286">
        <v>11</v>
      </c>
      <c r="C251" s="41">
        <f t="shared" si="34"/>
        <v>55000000</v>
      </c>
      <c r="D251" s="42">
        <f t="shared" si="26"/>
        <v>63000000</v>
      </c>
      <c r="E251" s="43">
        <f t="shared" si="28"/>
        <v>0.10185185185185186</v>
      </c>
      <c r="F251" s="44">
        <f t="shared" si="29"/>
        <v>0.1746031746031746</v>
      </c>
      <c r="G251" s="45">
        <f t="shared" si="30"/>
        <v>0.08730158730158731</v>
      </c>
      <c r="H251" s="45">
        <f t="shared" si="27"/>
        <v>0.12698412698412698</v>
      </c>
      <c r="I251" s="44">
        <f t="shared" si="31"/>
        <v>0.4736111111111112</v>
      </c>
      <c r="J251" s="49">
        <f t="shared" si="32"/>
        <v>0.025462962962962965</v>
      </c>
      <c r="K251" s="259">
        <f t="shared" si="33"/>
        <v>0.010185185185185186</v>
      </c>
      <c r="L251" s="11"/>
      <c r="M251" s="11"/>
      <c r="N251" s="11"/>
      <c r="O251" s="11"/>
      <c r="P251" s="11"/>
    </row>
    <row r="252" spans="1:16" ht="15">
      <c r="A252" s="3"/>
      <c r="B252" s="286">
        <v>12</v>
      </c>
      <c r="C252" s="41">
        <f t="shared" si="34"/>
        <v>60000000</v>
      </c>
      <c r="D252" s="42">
        <f t="shared" si="26"/>
        <v>68000000</v>
      </c>
      <c r="E252" s="43">
        <f t="shared" si="28"/>
        <v>0.10294117647058823</v>
      </c>
      <c r="F252" s="44">
        <f t="shared" si="29"/>
        <v>0.1764705882352941</v>
      </c>
      <c r="G252" s="45">
        <f t="shared" si="30"/>
        <v>0.08823529411764706</v>
      </c>
      <c r="H252" s="45">
        <f t="shared" si="27"/>
        <v>0.11764705882352941</v>
      </c>
      <c r="I252" s="44">
        <f t="shared" si="31"/>
        <v>0.47867647058823537</v>
      </c>
      <c r="J252" s="49">
        <f t="shared" si="32"/>
        <v>0.02573529411764706</v>
      </c>
      <c r="K252" s="259">
        <f t="shared" si="33"/>
        <v>0.010294117647058823</v>
      </c>
      <c r="L252" s="11"/>
      <c r="M252" s="11"/>
      <c r="N252" s="11"/>
      <c r="O252" s="11"/>
      <c r="P252" s="11"/>
    </row>
    <row r="253" spans="1:16" ht="15">
      <c r="A253" s="3"/>
      <c r="B253" s="286">
        <v>13</v>
      </c>
      <c r="C253" s="41">
        <f t="shared" si="34"/>
        <v>65000000</v>
      </c>
      <c r="D253" s="42">
        <f t="shared" si="26"/>
        <v>73000000</v>
      </c>
      <c r="E253" s="43">
        <f t="shared" si="28"/>
        <v>0.1038812785388128</v>
      </c>
      <c r="F253" s="44">
        <f t="shared" si="29"/>
        <v>0.1780821917808219</v>
      </c>
      <c r="G253" s="45">
        <f t="shared" si="30"/>
        <v>0.08904109589041097</v>
      </c>
      <c r="H253" s="45">
        <f t="shared" si="27"/>
        <v>0.1095890410958904</v>
      </c>
      <c r="I253" s="44">
        <f t="shared" si="31"/>
        <v>0.48304794520547956</v>
      </c>
      <c r="J253" s="49">
        <f t="shared" si="32"/>
        <v>0.0259703196347032</v>
      </c>
      <c r="K253" s="259">
        <f t="shared" si="33"/>
        <v>0.010388127853881279</v>
      </c>
      <c r="L253" s="11"/>
      <c r="M253" s="11"/>
      <c r="N253" s="11"/>
      <c r="O253" s="11"/>
      <c r="P253" s="11"/>
    </row>
    <row r="254" spans="1:16" ht="15">
      <c r="A254" s="3"/>
      <c r="B254" s="286">
        <v>14</v>
      </c>
      <c r="C254" s="41">
        <f t="shared" si="34"/>
        <v>70000000</v>
      </c>
      <c r="D254" s="42">
        <f t="shared" si="26"/>
        <v>78000000</v>
      </c>
      <c r="E254" s="43">
        <f t="shared" si="28"/>
        <v>0.1047008547008547</v>
      </c>
      <c r="F254" s="44">
        <f t="shared" si="29"/>
        <v>0.1794871794871795</v>
      </c>
      <c r="G254" s="45">
        <f t="shared" si="30"/>
        <v>0.08974358974358976</v>
      </c>
      <c r="H254" s="45">
        <f t="shared" si="27"/>
        <v>0.10256410256410256</v>
      </c>
      <c r="I254" s="44">
        <f t="shared" si="31"/>
        <v>0.48685897435897446</v>
      </c>
      <c r="J254" s="49">
        <f t="shared" si="32"/>
        <v>0.02617521367521368</v>
      </c>
      <c r="K254" s="259">
        <f t="shared" si="33"/>
        <v>0.010470085470085471</v>
      </c>
      <c r="L254" s="11"/>
      <c r="M254" s="11"/>
      <c r="N254" s="11"/>
      <c r="O254" s="11"/>
      <c r="P254" s="11"/>
    </row>
    <row r="255" spans="1:16" ht="15">
      <c r="A255" s="3"/>
      <c r="B255" s="286">
        <v>15</v>
      </c>
      <c r="C255" s="41">
        <f t="shared" si="34"/>
        <v>75000000</v>
      </c>
      <c r="D255" s="42">
        <f t="shared" si="26"/>
        <v>83000000</v>
      </c>
      <c r="E255" s="43">
        <f t="shared" si="28"/>
        <v>0.10542168674698796</v>
      </c>
      <c r="F255" s="44">
        <f t="shared" si="29"/>
        <v>0.18072289156626506</v>
      </c>
      <c r="G255" s="45">
        <f t="shared" si="30"/>
        <v>0.09036144578313254</v>
      </c>
      <c r="H255" s="45">
        <f t="shared" si="27"/>
        <v>0.0963855421686747</v>
      </c>
      <c r="I255" s="44">
        <f t="shared" si="31"/>
        <v>0.4902108433734941</v>
      </c>
      <c r="J255" s="49">
        <f t="shared" si="32"/>
        <v>0.026355421686746993</v>
      </c>
      <c r="K255" s="259">
        <f t="shared" si="33"/>
        <v>0.010542168674698796</v>
      </c>
      <c r="L255" s="11"/>
      <c r="M255" s="11"/>
      <c r="N255" s="11"/>
      <c r="O255" s="11"/>
      <c r="P255" s="11"/>
    </row>
    <row r="256" spans="1:16" ht="15">
      <c r="A256" s="3"/>
      <c r="B256" s="286">
        <v>16</v>
      </c>
      <c r="C256" s="41">
        <f t="shared" si="34"/>
        <v>80000000</v>
      </c>
      <c r="D256" s="42">
        <f t="shared" si="26"/>
        <v>88000000</v>
      </c>
      <c r="E256" s="43">
        <f t="shared" si="28"/>
        <v>0.10606060606060606</v>
      </c>
      <c r="F256" s="44">
        <f t="shared" si="29"/>
        <v>0.1818181818181818</v>
      </c>
      <c r="G256" s="45">
        <f t="shared" si="30"/>
        <v>0.09090909090909091</v>
      </c>
      <c r="H256" s="45">
        <f t="shared" si="27"/>
        <v>0.09090909090909091</v>
      </c>
      <c r="I256" s="44">
        <f t="shared" si="31"/>
        <v>0.4931818181818183</v>
      </c>
      <c r="J256" s="49">
        <f t="shared" si="32"/>
        <v>0.02651515151515152</v>
      </c>
      <c r="K256" s="259">
        <f t="shared" si="33"/>
        <v>0.010606060606060607</v>
      </c>
      <c r="L256" s="11"/>
      <c r="M256" s="11"/>
      <c r="N256" s="11"/>
      <c r="O256" s="11"/>
      <c r="P256" s="11"/>
    </row>
    <row r="257" spans="1:16" ht="15">
      <c r="A257" s="3"/>
      <c r="B257" s="286">
        <v>17</v>
      </c>
      <c r="C257" s="41">
        <f t="shared" si="34"/>
        <v>85000000</v>
      </c>
      <c r="D257" s="42">
        <f t="shared" si="26"/>
        <v>93000000</v>
      </c>
      <c r="E257" s="43">
        <f t="shared" si="28"/>
        <v>0.10663082437275985</v>
      </c>
      <c r="F257" s="44">
        <f t="shared" si="29"/>
        <v>0.18279569892473116</v>
      </c>
      <c r="G257" s="45">
        <f t="shared" si="30"/>
        <v>0.0913978494623656</v>
      </c>
      <c r="H257" s="45">
        <f t="shared" si="27"/>
        <v>0.08602150537634409</v>
      </c>
      <c r="I257" s="44">
        <f t="shared" si="31"/>
        <v>0.4958333333333334</v>
      </c>
      <c r="J257" s="49">
        <f t="shared" si="32"/>
        <v>0.026657706093189966</v>
      </c>
      <c r="K257" s="259">
        <f t="shared" si="33"/>
        <v>0.010663082437275985</v>
      </c>
      <c r="L257" s="11"/>
      <c r="M257" s="11"/>
      <c r="N257" s="11"/>
      <c r="O257" s="11"/>
      <c r="P257" s="11"/>
    </row>
    <row r="258" spans="1:16" ht="15">
      <c r="A258" s="3"/>
      <c r="B258" s="286">
        <v>18</v>
      </c>
      <c r="C258" s="41">
        <f t="shared" si="34"/>
        <v>90000000</v>
      </c>
      <c r="D258" s="42">
        <f t="shared" si="26"/>
        <v>98000000</v>
      </c>
      <c r="E258" s="43">
        <f t="shared" si="28"/>
        <v>0.10714285714285715</v>
      </c>
      <c r="F258" s="44">
        <f t="shared" si="29"/>
        <v>0.18367346938775508</v>
      </c>
      <c r="G258" s="45">
        <f t="shared" si="30"/>
        <v>0.09183673469387756</v>
      </c>
      <c r="H258" s="45">
        <f t="shared" si="27"/>
        <v>0.08163265306122448</v>
      </c>
      <c r="I258" s="44">
        <f t="shared" si="31"/>
        <v>0.49821428571428583</v>
      </c>
      <c r="J258" s="49">
        <f t="shared" si="32"/>
        <v>0.02678571428571429</v>
      </c>
      <c r="K258" s="259">
        <f t="shared" si="33"/>
        <v>0.010714285714285714</v>
      </c>
      <c r="L258" s="11"/>
      <c r="M258" s="11"/>
      <c r="N258" s="11"/>
      <c r="O258" s="11"/>
      <c r="P258" s="11"/>
    </row>
    <row r="259" spans="1:16" ht="15">
      <c r="A259" s="3"/>
      <c r="B259" s="286">
        <v>19</v>
      </c>
      <c r="C259" s="41">
        <f t="shared" si="34"/>
        <v>95000000</v>
      </c>
      <c r="D259" s="42">
        <f t="shared" si="26"/>
        <v>103000000</v>
      </c>
      <c r="E259" s="43">
        <f t="shared" si="28"/>
        <v>0.10760517799352752</v>
      </c>
      <c r="F259" s="44">
        <f t="shared" si="29"/>
        <v>0.18446601941747573</v>
      </c>
      <c r="G259" s="45">
        <f t="shared" si="30"/>
        <v>0.09223300970873788</v>
      </c>
      <c r="H259" s="45">
        <f t="shared" si="27"/>
        <v>0.07766990291262135</v>
      </c>
      <c r="I259" s="44">
        <f t="shared" si="31"/>
        <v>0.500364077669903</v>
      </c>
      <c r="J259" s="49">
        <f t="shared" si="32"/>
        <v>0.02690129449838188</v>
      </c>
      <c r="K259" s="259">
        <f t="shared" si="33"/>
        <v>0.010760517799352751</v>
      </c>
      <c r="L259" s="11"/>
      <c r="M259" s="11"/>
      <c r="N259" s="11"/>
      <c r="O259" s="11"/>
      <c r="P259" s="11"/>
    </row>
    <row r="260" spans="1:16" ht="15">
      <c r="A260" s="3"/>
      <c r="B260" s="286">
        <v>20</v>
      </c>
      <c r="C260" s="41">
        <f t="shared" si="34"/>
        <v>100000000</v>
      </c>
      <c r="D260" s="42">
        <f t="shared" si="26"/>
        <v>108000000</v>
      </c>
      <c r="E260" s="43">
        <f t="shared" si="28"/>
        <v>0.1080246913580247</v>
      </c>
      <c r="F260" s="44">
        <f t="shared" si="29"/>
        <v>0.18518518518518517</v>
      </c>
      <c r="G260" s="45">
        <f t="shared" si="30"/>
        <v>0.0925925925925926</v>
      </c>
      <c r="H260" s="45">
        <f t="shared" si="27"/>
        <v>0.07407407407407407</v>
      </c>
      <c r="I260" s="44">
        <f t="shared" si="31"/>
        <v>0.5023148148148149</v>
      </c>
      <c r="J260" s="49">
        <f t="shared" si="32"/>
        <v>0.02700617283950618</v>
      </c>
      <c r="K260" s="259">
        <f t="shared" si="33"/>
        <v>0.01080246913580247</v>
      </c>
      <c r="L260" s="11"/>
      <c r="M260" s="11"/>
      <c r="N260" s="11"/>
      <c r="O260" s="11"/>
      <c r="P260" s="11"/>
    </row>
    <row r="261" spans="1:16" ht="15">
      <c r="A261" s="3"/>
      <c r="B261" s="286">
        <v>21</v>
      </c>
      <c r="C261" s="41">
        <f t="shared" si="34"/>
        <v>105000000</v>
      </c>
      <c r="D261" s="42">
        <f t="shared" si="26"/>
        <v>113000000</v>
      </c>
      <c r="E261" s="43">
        <f t="shared" si="28"/>
        <v>0.1084070796460177</v>
      </c>
      <c r="F261" s="44">
        <f t="shared" si="29"/>
        <v>0.18584070796460175</v>
      </c>
      <c r="G261" s="45">
        <f t="shared" si="30"/>
        <v>0.09292035398230089</v>
      </c>
      <c r="H261" s="45">
        <f t="shared" si="27"/>
        <v>0.07079646017699115</v>
      </c>
      <c r="I261" s="44">
        <f t="shared" si="31"/>
        <v>0.5040929203539823</v>
      </c>
      <c r="J261" s="49">
        <f t="shared" si="32"/>
        <v>0.02710176991150443</v>
      </c>
      <c r="K261" s="259">
        <f t="shared" si="33"/>
        <v>0.01084070796460177</v>
      </c>
      <c r="L261" s="11"/>
      <c r="M261" s="11"/>
      <c r="N261" s="11"/>
      <c r="O261" s="11"/>
      <c r="P261" s="11"/>
    </row>
    <row r="262" spans="1:16" ht="15">
      <c r="A262" s="3"/>
      <c r="B262" s="286">
        <v>22</v>
      </c>
      <c r="C262" s="41">
        <f t="shared" si="34"/>
        <v>110000000</v>
      </c>
      <c r="D262" s="42">
        <f t="shared" si="26"/>
        <v>118000000</v>
      </c>
      <c r="E262" s="43">
        <f t="shared" si="28"/>
        <v>0.10875706214689265</v>
      </c>
      <c r="F262" s="44">
        <f t="shared" si="29"/>
        <v>0.18644067796610167</v>
      </c>
      <c r="G262" s="45">
        <f t="shared" si="30"/>
        <v>0.09322033898305085</v>
      </c>
      <c r="H262" s="45">
        <f t="shared" si="27"/>
        <v>0.06779661016949153</v>
      </c>
      <c r="I262" s="44">
        <f t="shared" si="31"/>
        <v>0.5057203389830509</v>
      </c>
      <c r="J262" s="49">
        <f t="shared" si="32"/>
        <v>0.027189265536723167</v>
      </c>
      <c r="K262" s="259">
        <f t="shared" si="33"/>
        <v>0.010875706214689265</v>
      </c>
      <c r="L262" s="11"/>
      <c r="M262" s="11"/>
      <c r="N262" s="11"/>
      <c r="O262" s="11"/>
      <c r="P262" s="11"/>
    </row>
    <row r="263" spans="1:16" ht="15">
      <c r="A263" s="3"/>
      <c r="B263" s="286">
        <v>23</v>
      </c>
      <c r="C263" s="41">
        <f t="shared" si="34"/>
        <v>115000000</v>
      </c>
      <c r="D263" s="42">
        <f t="shared" si="26"/>
        <v>123000000</v>
      </c>
      <c r="E263" s="43">
        <f t="shared" si="28"/>
        <v>0.10907859078590786</v>
      </c>
      <c r="F263" s="44">
        <f t="shared" si="29"/>
        <v>0.18699186991869918</v>
      </c>
      <c r="G263" s="45">
        <f t="shared" si="30"/>
        <v>0.0934959349593496</v>
      </c>
      <c r="H263" s="45">
        <f t="shared" si="27"/>
        <v>0.06504065040650407</v>
      </c>
      <c r="I263" s="44">
        <f t="shared" si="31"/>
        <v>0.5072154471544716</v>
      </c>
      <c r="J263" s="49">
        <f t="shared" si="32"/>
        <v>0.027269647696476967</v>
      </c>
      <c r="K263" s="259">
        <f t="shared" si="33"/>
        <v>0.010907859078590786</v>
      </c>
      <c r="L263" s="11"/>
      <c r="M263" s="11"/>
      <c r="N263" s="11"/>
      <c r="O263" s="11"/>
      <c r="P263" s="11"/>
    </row>
    <row r="264" spans="1:16" ht="15">
      <c r="A264" s="3"/>
      <c r="B264" s="286">
        <v>24</v>
      </c>
      <c r="C264" s="41">
        <f t="shared" si="34"/>
        <v>120000000</v>
      </c>
      <c r="D264" s="42">
        <f t="shared" si="26"/>
        <v>128000000</v>
      </c>
      <c r="E264" s="43">
        <f t="shared" si="28"/>
        <v>0.109375</v>
      </c>
      <c r="F264" s="44">
        <f t="shared" si="29"/>
        <v>0.18749999999999997</v>
      </c>
      <c r="G264" s="45">
        <f t="shared" si="30"/>
        <v>0.09375</v>
      </c>
      <c r="H264" s="45">
        <f t="shared" si="27"/>
        <v>0.0625</v>
      </c>
      <c r="I264" s="44">
        <f t="shared" si="31"/>
        <v>0.5085937500000001</v>
      </c>
      <c r="J264" s="49">
        <f t="shared" si="32"/>
        <v>0.027343750000000003</v>
      </c>
      <c r="K264" s="259">
        <f t="shared" si="33"/>
        <v>0.010937500000000001</v>
      </c>
      <c r="L264" s="11"/>
      <c r="M264" s="11"/>
      <c r="N264" s="11"/>
      <c r="O264" s="11"/>
      <c r="P264" s="11"/>
    </row>
    <row r="265" spans="1:16" ht="15.75" thickBot="1">
      <c r="A265" s="3"/>
      <c r="B265" s="287">
        <v>25</v>
      </c>
      <c r="C265" s="278">
        <f t="shared" si="34"/>
        <v>125000000</v>
      </c>
      <c r="D265" s="279">
        <f t="shared" si="26"/>
        <v>133000000</v>
      </c>
      <c r="E265" s="280">
        <f t="shared" si="28"/>
        <v>0.10964912280701755</v>
      </c>
      <c r="F265" s="281">
        <f t="shared" si="29"/>
        <v>0.18796992481203006</v>
      </c>
      <c r="G265" s="266">
        <f t="shared" si="30"/>
        <v>0.09398496240601505</v>
      </c>
      <c r="H265" s="266">
        <f t="shared" si="27"/>
        <v>0.06015037593984962</v>
      </c>
      <c r="I265" s="281">
        <f t="shared" si="31"/>
        <v>0.5098684210526316</v>
      </c>
      <c r="J265" s="282">
        <f t="shared" si="32"/>
        <v>0.02741228070175439</v>
      </c>
      <c r="K265" s="283">
        <f t="shared" si="33"/>
        <v>0.010964912280701756</v>
      </c>
      <c r="L265" s="11"/>
      <c r="M265" s="11"/>
      <c r="N265" s="11"/>
      <c r="O265" s="11"/>
      <c r="P265" s="11"/>
    </row>
    <row r="266" spans="1:16" ht="15">
      <c r="A266" s="3"/>
      <c r="B266" s="3"/>
      <c r="C266" s="11"/>
      <c r="D266" s="11"/>
      <c r="E266" s="11"/>
      <c r="F266" s="11"/>
      <c r="G266" s="26"/>
      <c r="H266" s="26"/>
      <c r="I266" s="11"/>
      <c r="J266" s="11"/>
      <c r="K266" s="11"/>
      <c r="L266" s="11"/>
      <c r="M266" s="11"/>
      <c r="N266" s="11"/>
      <c r="O266" s="11"/>
      <c r="P266" s="11"/>
    </row>
    <row r="267" spans="1:16" ht="15">
      <c r="A267" s="3"/>
      <c r="B267" s="3"/>
      <c r="C267" s="11"/>
      <c r="D267" s="11"/>
      <c r="E267" s="11"/>
      <c r="F267" s="11"/>
      <c r="G267" s="26"/>
      <c r="H267" s="26"/>
      <c r="I267" s="11"/>
      <c r="J267" s="11"/>
      <c r="K267" s="11"/>
      <c r="L267" s="11"/>
      <c r="M267" s="11"/>
      <c r="N267" s="11"/>
      <c r="O267" s="11"/>
      <c r="P267" s="11"/>
    </row>
    <row r="268" spans="1:16" ht="15">
      <c r="A268" s="3"/>
      <c r="B268" s="3"/>
      <c r="C268" s="11"/>
      <c r="D268" s="11"/>
      <c r="E268" s="11"/>
      <c r="F268" s="11"/>
      <c r="G268" s="26"/>
      <c r="H268" s="26"/>
      <c r="I268" s="11"/>
      <c r="J268" s="11"/>
      <c r="K268" s="11"/>
      <c r="L268" s="11"/>
      <c r="M268" s="11"/>
      <c r="N268" s="11"/>
      <c r="O268" s="11"/>
      <c r="P268" s="11"/>
    </row>
    <row r="269" spans="1:16" ht="15">
      <c r="A269" s="3"/>
      <c r="B269" s="3"/>
      <c r="C269" s="11"/>
      <c r="D269" s="11"/>
      <c r="E269" s="11"/>
      <c r="F269" s="11"/>
      <c r="G269" s="26"/>
      <c r="H269" s="26"/>
      <c r="I269" s="11"/>
      <c r="J269" s="11"/>
      <c r="K269" s="11"/>
      <c r="L269" s="11"/>
      <c r="M269" s="11"/>
      <c r="N269" s="11"/>
      <c r="O269" s="11"/>
      <c r="P269" s="11"/>
    </row>
    <row r="270" spans="1:16" ht="15">
      <c r="A270" s="3"/>
      <c r="B270" s="3"/>
      <c r="C270" s="11"/>
      <c r="D270" s="11"/>
      <c r="E270" s="11"/>
      <c r="F270" s="11"/>
      <c r="G270" s="26"/>
      <c r="H270" s="26"/>
      <c r="I270" s="11"/>
      <c r="J270" s="11"/>
      <c r="K270" s="11"/>
      <c r="L270" s="11"/>
      <c r="M270" s="11"/>
      <c r="N270" s="11"/>
      <c r="O270" s="11"/>
      <c r="P270" s="11"/>
    </row>
    <row r="271" spans="3:16" ht="15">
      <c r="C271" s="60"/>
      <c r="D271" s="60"/>
      <c r="E271" s="60"/>
      <c r="F271" s="60"/>
      <c r="G271" s="60"/>
      <c r="H271" s="60"/>
      <c r="I271" s="60"/>
      <c r="J271" s="60"/>
      <c r="K271" s="60"/>
      <c r="L271" s="60"/>
      <c r="M271" s="60"/>
      <c r="N271" s="60"/>
      <c r="O271" s="60"/>
      <c r="P271" s="60"/>
    </row>
    <row r="272" spans="3:16" ht="15">
      <c r="C272" s="60"/>
      <c r="D272" s="60"/>
      <c r="E272" s="60"/>
      <c r="F272" s="60"/>
      <c r="G272" s="60"/>
      <c r="H272" s="60"/>
      <c r="I272" s="60"/>
      <c r="J272" s="60"/>
      <c r="K272" s="60"/>
      <c r="L272" s="60"/>
      <c r="M272" s="60"/>
      <c r="N272" s="60"/>
      <c r="O272" s="60"/>
      <c r="P272" s="60"/>
    </row>
    <row r="273" spans="3:16" ht="15">
      <c r="C273" s="60"/>
      <c r="D273" s="60"/>
      <c r="E273" s="60"/>
      <c r="F273" s="60"/>
      <c r="G273" s="60"/>
      <c r="H273" s="60"/>
      <c r="I273" s="60"/>
      <c r="J273" s="60"/>
      <c r="K273" s="60"/>
      <c r="L273" s="60"/>
      <c r="M273" s="60"/>
      <c r="N273" s="60"/>
      <c r="O273" s="60"/>
      <c r="P273" s="60"/>
    </row>
    <row r="274" spans="3:16" ht="15">
      <c r="C274" s="60"/>
      <c r="D274" s="60"/>
      <c r="E274" s="60"/>
      <c r="F274" s="60"/>
      <c r="G274" s="60"/>
      <c r="H274" s="60"/>
      <c r="I274" s="60"/>
      <c r="J274" s="60"/>
      <c r="K274" s="60"/>
      <c r="L274" s="60"/>
      <c r="M274" s="60"/>
      <c r="N274" s="60"/>
      <c r="O274" s="60"/>
      <c r="P274" s="60"/>
    </row>
    <row r="275" spans="3:16" ht="15">
      <c r="C275" s="60"/>
      <c r="D275" s="60"/>
      <c r="E275" s="60"/>
      <c r="F275" s="60"/>
      <c r="G275" s="60"/>
      <c r="H275" s="60"/>
      <c r="I275" s="60"/>
      <c r="J275" s="60"/>
      <c r="K275" s="60"/>
      <c r="L275" s="60"/>
      <c r="M275" s="60"/>
      <c r="N275" s="60"/>
      <c r="O275" s="60"/>
      <c r="P275" s="60"/>
    </row>
    <row r="276" spans="3:16" ht="15">
      <c r="C276" s="60"/>
      <c r="D276" s="60"/>
      <c r="E276" s="60"/>
      <c r="F276" s="60"/>
      <c r="G276" s="60"/>
      <c r="H276" s="60"/>
      <c r="I276" s="60"/>
      <c r="J276" s="60"/>
      <c r="K276" s="60"/>
      <c r="L276" s="60"/>
      <c r="M276" s="60"/>
      <c r="N276" s="60"/>
      <c r="O276" s="60"/>
      <c r="P276" s="60"/>
    </row>
    <row r="277" spans="3:16" ht="15">
      <c r="C277" s="60"/>
      <c r="D277" s="60"/>
      <c r="E277" s="60"/>
      <c r="F277" s="60"/>
      <c r="G277" s="60"/>
      <c r="H277" s="60"/>
      <c r="I277" s="60"/>
      <c r="J277" s="60"/>
      <c r="K277" s="60"/>
      <c r="L277" s="60"/>
      <c r="M277" s="60"/>
      <c r="N277" s="60"/>
      <c r="O277" s="60"/>
      <c r="P277" s="60"/>
    </row>
    <row r="278" spans="3:16" ht="15">
      <c r="C278" s="60"/>
      <c r="D278" s="60"/>
      <c r="E278" s="60"/>
      <c r="F278" s="60"/>
      <c r="G278" s="60"/>
      <c r="H278" s="60"/>
      <c r="I278" s="60"/>
      <c r="J278" s="60"/>
      <c r="K278" s="60"/>
      <c r="L278" s="60"/>
      <c r="M278" s="60"/>
      <c r="N278" s="60"/>
      <c r="O278" s="60"/>
      <c r="P278" s="60"/>
    </row>
    <row r="279" spans="3:16" ht="15">
      <c r="C279" s="60"/>
      <c r="D279" s="60"/>
      <c r="E279" s="60"/>
      <c r="F279" s="60"/>
      <c r="G279" s="60"/>
      <c r="H279" s="60"/>
      <c r="I279" s="60"/>
      <c r="J279" s="60"/>
      <c r="K279" s="60"/>
      <c r="L279" s="60"/>
      <c r="M279" s="60"/>
      <c r="N279" s="60"/>
      <c r="O279" s="60"/>
      <c r="P279" s="60"/>
    </row>
    <row r="280" spans="3:16" ht="15">
      <c r="C280" s="60"/>
      <c r="D280" s="60"/>
      <c r="E280" s="60"/>
      <c r="F280" s="60"/>
      <c r="G280" s="60"/>
      <c r="H280" s="60"/>
      <c r="I280" s="60"/>
      <c r="J280" s="60"/>
      <c r="K280" s="60"/>
      <c r="L280" s="60"/>
      <c r="M280" s="60"/>
      <c r="N280" s="60"/>
      <c r="O280" s="60"/>
      <c r="P280" s="60"/>
    </row>
  </sheetData>
  <mergeCells count="33">
    <mergeCell ref="M159:N159"/>
    <mergeCell ref="D45:H47"/>
    <mergeCell ref="G159:H159"/>
    <mergeCell ref="I159:J159"/>
    <mergeCell ref="K159:L159"/>
    <mergeCell ref="C92:H93"/>
    <mergeCell ref="M126:N126"/>
    <mergeCell ref="I126:J126"/>
    <mergeCell ref="D98:H100"/>
    <mergeCell ref="D101:H103"/>
    <mergeCell ref="B4:H5"/>
    <mergeCell ref="B7:H9"/>
    <mergeCell ref="B17:H19"/>
    <mergeCell ref="D12:H14"/>
    <mergeCell ref="B21:H23"/>
    <mergeCell ref="B26:H28"/>
    <mergeCell ref="B33:H34"/>
    <mergeCell ref="D35:H38"/>
    <mergeCell ref="D40:H43"/>
    <mergeCell ref="B238:B240"/>
    <mergeCell ref="D49:H51"/>
    <mergeCell ref="K126:L126"/>
    <mergeCell ref="B173:B175"/>
    <mergeCell ref="D53:H55"/>
    <mergeCell ref="B57:H59"/>
    <mergeCell ref="B60:H62"/>
    <mergeCell ref="G126:H126"/>
    <mergeCell ref="C89:H91"/>
    <mergeCell ref="B193:B195"/>
    <mergeCell ref="B213:B215"/>
    <mergeCell ref="B113:H115"/>
    <mergeCell ref="B116:H118"/>
    <mergeCell ref="B121:H123"/>
  </mergeCells>
  <printOptions horizontalCentered="1"/>
  <pageMargins left="0.25" right="0.25" top="0.75" bottom="0.75" header="0.5" footer="0.5"/>
  <pageSetup fitToHeight="1" fitToWidth="1" horizontalDpi="300" verticalDpi="300" orientation="portrait" scale="17"/>
  <headerFooter alignWithMargins="0">
    <oddFooter>&amp;L&amp;"Arial,Regular"&amp;10Copyright 2006 Ewing Marion Kauffman Foundation. All Rights Reserved.&amp;R&amp;"Arial,Regular"&amp;10Instructions</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11.00390625" defaultRowHeight="15.75"/>
  <cols>
    <col min="1" max="16384" width="8.8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11.00390625" defaultRowHeight="15.75"/>
  <cols>
    <col min="1" max="16384" width="8.8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JZ Company,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dc:creator>
  <cp:keywords/>
  <dc:description/>
  <cp:lastModifiedBy>Kirstie Chadwick</cp:lastModifiedBy>
  <cp:lastPrinted>2005-06-19T22:19:05Z</cp:lastPrinted>
  <dcterms:created xsi:type="dcterms:W3CDTF">2005-05-26T18:41:00Z</dcterms:created>
  <dcterms:modified xsi:type="dcterms:W3CDTF">2006-01-04T16:13:15Z</dcterms:modified>
  <cp:category/>
  <cp:version/>
  <cp:contentType/>
  <cp:contentStatus/>
</cp:coreProperties>
</file>